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FITKO\08_Finanzen\03_Wirtschaftsplan\2026_Wirtschaftsplan\03_Entwurf_2026\0_Vorentwurf_V0_2026_(vor_ITPLR_Zustellung)\"/>
    </mc:Choice>
  </mc:AlternateContent>
  <bookViews>
    <workbookView xWindow="0" yWindow="0" windowWidth="28800" windowHeight="11430"/>
  </bookViews>
  <sheets>
    <sheet name="Budget" sheetId="29" r:id="rId1"/>
    <sheet name="Kostenvert. Budget" sheetId="24" r:id="rId2"/>
  </sheets>
  <definedNames>
    <definedName name="ANGEST23">#REF!</definedName>
    <definedName name="ANGEST24">#REF!</definedName>
    <definedName name="ANGEST25">#REF!</definedName>
    <definedName name="ANGEST26">#REF!</definedName>
    <definedName name="ANGEST27">#REF!</definedName>
    <definedName name="ANGEUR24">#REF!</definedName>
    <definedName name="ANGEUR25">#REF!</definedName>
    <definedName name="ANGEUR26">#REF!</definedName>
    <definedName name="ANGEUR27">#REF!</definedName>
    <definedName name="BEAMT23">#REF!</definedName>
    <definedName name="BEAMT24">#REF!</definedName>
    <definedName name="BEAMT25">#REF!</definedName>
    <definedName name="BEAMT26">#REF!</definedName>
    <definedName name="BEAMT27">#REF!</definedName>
    <definedName name="BEAMTEUR24">#REF!</definedName>
    <definedName name="BEAMTEUR25">#REF!</definedName>
    <definedName name="BEAMTEUR26">#REF!</definedName>
    <definedName name="BEAMTEUR27">#REF!</definedName>
    <definedName name="BESCHAEFT23">#REF!</definedName>
    <definedName name="BESCHAEFT24">#REF!</definedName>
    <definedName name="BESCHAEFT25">#REF!</definedName>
    <definedName name="BESCHAEFT26">#REF!</definedName>
    <definedName name="BESCHAEFT27">#REF!</definedName>
    <definedName name="_xlnm.Print_Area" localSheetId="0">Budget!$C$1:$M$238</definedName>
    <definedName name="_xlnm.Print_Area" localSheetId="1">'Kostenvert. Budget'!$A$1:$V$27</definedName>
    <definedName name="_xlnm.Print_Titles" localSheetId="0">Budget!$3:$3</definedName>
    <definedName name="_xlnm.Print_Titles" localSheetId="1">'Kostenvert. Budget'!$A:$A</definedName>
    <definedName name="Plus2022">#REF!</definedName>
  </definedNames>
  <calcPr calcId="162913"/>
</workbook>
</file>

<file path=xl/calcChain.xml><?xml version="1.0" encoding="utf-8"?>
<calcChain xmlns="http://schemas.openxmlformats.org/spreadsheetml/2006/main">
  <c r="Y15" i="29" l="1"/>
  <c r="W8" i="29"/>
  <c r="W9" i="29"/>
  <c r="W10" i="29"/>
  <c r="W11" i="29"/>
  <c r="W12" i="29"/>
  <c r="W13" i="29"/>
  <c r="W14" i="29"/>
  <c r="W15" i="29"/>
  <c r="W16" i="29"/>
  <c r="W17" i="29"/>
  <c r="W18" i="29"/>
  <c r="W19" i="29"/>
  <c r="W20" i="29"/>
  <c r="W21" i="29"/>
  <c r="M22" i="29"/>
  <c r="L22" i="29"/>
  <c r="K22" i="29"/>
  <c r="J22" i="29" l="1"/>
  <c r="F23" i="29" l="1"/>
  <c r="G23" i="29"/>
  <c r="H23" i="29"/>
  <c r="J23" i="29"/>
  <c r="O23" i="29"/>
  <c r="P23" i="29"/>
  <c r="W7" i="29" l="1"/>
  <c r="J218" i="29" l="1"/>
  <c r="V4" i="24"/>
  <c r="V23" i="24"/>
  <c r="E22" i="29" l="1"/>
  <c r="E23" i="29" s="1"/>
  <c r="W223" i="29" l="1"/>
  <c r="W221" i="29"/>
  <c r="W219" i="29"/>
  <c r="W216" i="29"/>
  <c r="W215" i="29"/>
  <c r="W214" i="29"/>
  <c r="W213" i="29"/>
  <c r="W210" i="29"/>
  <c r="W209" i="29"/>
  <c r="W208" i="29"/>
  <c r="W207" i="29"/>
  <c r="W206" i="29"/>
  <c r="W205" i="29"/>
  <c r="W204" i="29"/>
  <c r="W203" i="29"/>
  <c r="W202" i="29"/>
  <c r="W201" i="29"/>
  <c r="W200" i="29"/>
  <c r="W199" i="29"/>
  <c r="W198" i="29"/>
  <c r="W197" i="29"/>
  <c r="W196" i="29"/>
  <c r="W195" i="29"/>
  <c r="W194" i="29"/>
  <c r="W193" i="29"/>
  <c r="W192" i="29"/>
  <c r="W191" i="29"/>
  <c r="W190" i="29"/>
  <c r="W189" i="29"/>
  <c r="W188" i="29"/>
  <c r="W187" i="29"/>
  <c r="W186" i="29"/>
  <c r="W185" i="29"/>
  <c r="W184" i="29"/>
  <c r="W183" i="29"/>
  <c r="W182" i="29"/>
  <c r="W181" i="29"/>
  <c r="W180" i="29"/>
  <c r="W179" i="29"/>
  <c r="W177" i="29"/>
  <c r="W176" i="29"/>
  <c r="W175" i="29"/>
  <c r="W174" i="29"/>
  <c r="W173" i="29"/>
  <c r="W172" i="29"/>
  <c r="W171" i="29"/>
  <c r="W170" i="29"/>
  <c r="W169" i="29"/>
  <c r="W168" i="29"/>
  <c r="W167" i="29"/>
  <c r="W166" i="29"/>
  <c r="W165" i="29"/>
  <c r="W164" i="29"/>
  <c r="W163" i="29"/>
  <c r="W162" i="29"/>
  <c r="W161" i="29"/>
  <c r="W160" i="29"/>
  <c r="W159" i="29"/>
  <c r="W158" i="29"/>
  <c r="W157" i="29"/>
  <c r="W156" i="29"/>
  <c r="W155" i="29"/>
  <c r="W154" i="29"/>
  <c r="W153" i="29"/>
  <c r="W152" i="29"/>
  <c r="W151" i="29"/>
  <c r="W150" i="29"/>
  <c r="W149" i="29"/>
  <c r="W148" i="29"/>
  <c r="W147" i="29"/>
  <c r="W146" i="29"/>
  <c r="W145" i="29"/>
  <c r="W144" i="29"/>
  <c r="W143" i="29"/>
  <c r="W142" i="29"/>
  <c r="W141" i="29"/>
  <c r="W140" i="29"/>
  <c r="W139" i="29"/>
  <c r="W138" i="29"/>
  <c r="W137" i="29"/>
  <c r="W136" i="29"/>
  <c r="W133" i="29"/>
  <c r="W132" i="29"/>
  <c r="W131" i="29"/>
  <c r="W130" i="29"/>
  <c r="W129" i="29"/>
  <c r="W128" i="29"/>
  <c r="W127" i="29"/>
  <c r="W126" i="29"/>
  <c r="W125" i="29"/>
  <c r="W124" i="29"/>
  <c r="W123" i="29"/>
  <c r="W122" i="29"/>
  <c r="W121" i="29"/>
  <c r="W120" i="29"/>
  <c r="W119" i="29"/>
  <c r="W118" i="29"/>
  <c r="W117" i="29"/>
  <c r="W116" i="29"/>
  <c r="W115" i="29"/>
  <c r="W114" i="29"/>
  <c r="W113" i="29"/>
  <c r="W112" i="29"/>
  <c r="W111" i="29"/>
  <c r="W110" i="29"/>
  <c r="W107" i="29"/>
  <c r="W106" i="29"/>
  <c r="W105" i="29"/>
  <c r="W104" i="29"/>
  <c r="W103" i="29"/>
  <c r="W100" i="29"/>
  <c r="W99" i="29"/>
  <c r="W98" i="29"/>
  <c r="W97" i="29"/>
  <c r="W96" i="29"/>
  <c r="W95" i="29"/>
  <c r="W94" i="29"/>
  <c r="W93" i="29"/>
  <c r="W92" i="29"/>
  <c r="W91" i="29"/>
  <c r="W90" i="29"/>
  <c r="W89" i="29"/>
  <c r="W88" i="29"/>
  <c r="W87" i="29"/>
  <c r="W84" i="29"/>
  <c r="W83" i="29"/>
  <c r="W82" i="29"/>
  <c r="W81" i="29"/>
  <c r="W80" i="29"/>
  <c r="W79" i="29"/>
  <c r="W78" i="29"/>
  <c r="W77" i="29"/>
  <c r="W76" i="29"/>
  <c r="W75" i="29"/>
  <c r="W74" i="29"/>
  <c r="W73" i="29"/>
  <c r="W72" i="29"/>
  <c r="W71" i="29"/>
  <c r="W70" i="29"/>
  <c r="W69" i="29"/>
  <c r="W68" i="29"/>
  <c r="W67" i="29"/>
  <c r="W64" i="29"/>
  <c r="W63" i="29"/>
  <c r="W62" i="29"/>
  <c r="W61" i="29"/>
  <c r="W60" i="29"/>
  <c r="W59" i="29"/>
  <c r="W58" i="29"/>
  <c r="W57" i="29"/>
  <c r="W56" i="29"/>
  <c r="W55" i="29"/>
  <c r="W54" i="29"/>
  <c r="W51" i="29"/>
  <c r="W50" i="29"/>
  <c r="W49" i="29"/>
  <c r="W48" i="29"/>
  <c r="W47" i="29"/>
  <c r="W44" i="29"/>
  <c r="W43" i="29"/>
  <c r="W42" i="29"/>
  <c r="W41" i="29"/>
  <c r="W40" i="29"/>
  <c r="W39" i="29"/>
  <c r="W38" i="29"/>
  <c r="W30" i="29"/>
  <c r="W31" i="29"/>
  <c r="W32" i="29"/>
  <c r="W33" i="29"/>
  <c r="W34" i="29"/>
  <c r="W35" i="29"/>
  <c r="W29" i="29"/>
  <c r="W37" i="29" l="1"/>
  <c r="W66" i="29"/>
  <c r="W46" i="29"/>
  <c r="W86" i="29"/>
  <c r="W53" i="29"/>
  <c r="W238" i="29" s="1"/>
  <c r="W109" i="29"/>
  <c r="W212" i="29"/>
  <c r="W28" i="29"/>
  <c r="W231" i="29" l="1"/>
  <c r="W237" i="29"/>
  <c r="Q8" i="29" l="1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T144" i="29"/>
  <c r="O181" i="29"/>
  <c r="S181" i="29" s="1"/>
  <c r="O203" i="29"/>
  <c r="S203" i="29" s="1"/>
  <c r="O204" i="29"/>
  <c r="S204" i="29" s="1"/>
  <c r="O205" i="29"/>
  <c r="S205" i="29" s="1"/>
  <c r="O206" i="29"/>
  <c r="S206" i="29" s="1"/>
  <c r="O207" i="29"/>
  <c r="S207" i="29" s="1"/>
  <c r="O208" i="29"/>
  <c r="S208" i="29" s="1"/>
  <c r="O209" i="29"/>
  <c r="S209" i="29" s="1"/>
  <c r="O210" i="29"/>
  <c r="S210" i="29" s="1"/>
  <c r="Q23" i="29" l="1"/>
  <c r="K152" i="29" l="1"/>
  <c r="K153" i="29"/>
  <c r="G144" i="29"/>
  <c r="E144" i="29" s="1"/>
  <c r="G172" i="29"/>
  <c r="K144" i="29" l="1"/>
  <c r="O144" i="29"/>
  <c r="Q144" i="29" s="1"/>
  <c r="O153" i="29"/>
  <c r="P153" i="29" s="1"/>
  <c r="Q153" i="29" s="1"/>
  <c r="S153" i="29"/>
  <c r="O152" i="29"/>
  <c r="F228" i="29"/>
  <c r="F230" i="29" s="1"/>
  <c r="L21" i="29"/>
  <c r="L20" i="29"/>
  <c r="L19" i="29"/>
  <c r="L18" i="29"/>
  <c r="M18" i="29" s="1"/>
  <c r="V18" i="29" s="1"/>
  <c r="L17" i="29"/>
  <c r="L16" i="29"/>
  <c r="L15" i="29"/>
  <c r="L14" i="29"/>
  <c r="L13" i="29"/>
  <c r="L12" i="29"/>
  <c r="L11" i="29"/>
  <c r="L10" i="29"/>
  <c r="L8" i="29"/>
  <c r="L7" i="29"/>
  <c r="K21" i="29"/>
  <c r="K20" i="29"/>
  <c r="M20" i="29" s="1"/>
  <c r="V20" i="29" s="1"/>
  <c r="K19" i="29"/>
  <c r="K18" i="29"/>
  <c r="K17" i="29"/>
  <c r="M17" i="29" s="1"/>
  <c r="V17" i="29" s="1"/>
  <c r="K16" i="29"/>
  <c r="M16" i="29" s="1"/>
  <c r="V16" i="29" s="1"/>
  <c r="K15" i="29"/>
  <c r="K14" i="29"/>
  <c r="K13" i="29"/>
  <c r="K12" i="29"/>
  <c r="M12" i="29" s="1"/>
  <c r="V12" i="29" s="1"/>
  <c r="K11" i="29"/>
  <c r="K10" i="29"/>
  <c r="K9" i="29"/>
  <c r="K8" i="29"/>
  <c r="M8" i="29" s="1"/>
  <c r="V8" i="29" s="1"/>
  <c r="K7" i="29"/>
  <c r="K202" i="29"/>
  <c r="L201" i="29"/>
  <c r="K201" i="29"/>
  <c r="I135" i="29"/>
  <c r="M10" i="29" l="1"/>
  <c r="V10" i="29" s="1"/>
  <c r="M13" i="29"/>
  <c r="V13" i="29" s="1"/>
  <c r="M14" i="29"/>
  <c r="V14" i="29" s="1"/>
  <c r="M21" i="29"/>
  <c r="V21" i="29" s="1"/>
  <c r="P152" i="29"/>
  <c r="Q152" i="29" s="1"/>
  <c r="M7" i="29"/>
  <c r="V7" i="29" s="1"/>
  <c r="K23" i="29"/>
  <c r="M15" i="29"/>
  <c r="V15" i="29" s="1"/>
  <c r="S144" i="29"/>
  <c r="M201" i="29"/>
  <c r="O201" i="29"/>
  <c r="P201" i="29" s="1"/>
  <c r="Q201" i="29" s="1"/>
  <c r="U144" i="29"/>
  <c r="V144" i="29"/>
  <c r="T201" i="29"/>
  <c r="M11" i="29"/>
  <c r="V11" i="29" s="1"/>
  <c r="M19" i="29"/>
  <c r="V19" i="29" s="1"/>
  <c r="O202" i="29"/>
  <c r="S202" i="29"/>
  <c r="S152" i="29"/>
  <c r="L9" i="29"/>
  <c r="M9" i="29" s="1"/>
  <c r="V9" i="29" s="1"/>
  <c r="J178" i="29"/>
  <c r="V201" i="29" l="1"/>
  <c r="L23" i="29"/>
  <c r="K178" i="29"/>
  <c r="W178" i="29"/>
  <c r="W135" i="29" s="1"/>
  <c r="W102" i="29" s="1"/>
  <c r="T4" i="24"/>
  <c r="M23" i="29"/>
  <c r="P202" i="29"/>
  <c r="S201" i="29"/>
  <c r="U201" i="29"/>
  <c r="I9" i="29"/>
  <c r="I23" i="29" s="1"/>
  <c r="K198" i="29"/>
  <c r="R201" i="29" l="1"/>
  <c r="O178" i="29"/>
  <c r="S178" i="29" s="1"/>
  <c r="O198" i="29"/>
  <c r="S198" i="29" s="1"/>
  <c r="Q202" i="29"/>
  <c r="U4" i="24"/>
  <c r="U23" i="24" s="1"/>
  <c r="I222" i="29"/>
  <c r="I220" i="29"/>
  <c r="O228" i="29"/>
  <c r="O230" i="29" s="1"/>
  <c r="P228" i="29"/>
  <c r="P230" i="29" s="1"/>
  <c r="O133" i="29"/>
  <c r="O111" i="29"/>
  <c r="O106" i="29"/>
  <c r="O82" i="29"/>
  <c r="P82" i="29" s="1"/>
  <c r="O81" i="29"/>
  <c r="P81" i="29" s="1"/>
  <c r="Q81" i="29" s="1"/>
  <c r="O79" i="29"/>
  <c r="O74" i="29"/>
  <c r="P74" i="29" s="1"/>
  <c r="O72" i="29"/>
  <c r="P72" i="29" s="1"/>
  <c r="Q72" i="29" s="1"/>
  <c r="O71" i="29"/>
  <c r="O70" i="29"/>
  <c r="O69" i="29"/>
  <c r="P69" i="29" s="1"/>
  <c r="O68" i="29"/>
  <c r="P68" i="29" s="1"/>
  <c r="Q68" i="29" s="1"/>
  <c r="O67" i="29"/>
  <c r="P67" i="29" s="1"/>
  <c r="O62" i="29"/>
  <c r="O61" i="29"/>
  <c r="O60" i="29"/>
  <c r="O59" i="29"/>
  <c r="O58" i="29"/>
  <c r="O57" i="29"/>
  <c r="P57" i="29" s="1"/>
  <c r="O56" i="29"/>
  <c r="P56" i="29" s="1"/>
  <c r="Q56" i="29" s="1"/>
  <c r="O51" i="29"/>
  <c r="O50" i="29"/>
  <c r="O44" i="29"/>
  <c r="O42" i="29"/>
  <c r="P42" i="29" s="1"/>
  <c r="O40" i="29"/>
  <c r="O31" i="29"/>
  <c r="P31" i="29" s="1"/>
  <c r="O34" i="29"/>
  <c r="O29" i="29"/>
  <c r="P29" i="29" s="1"/>
  <c r="Q57" i="29" l="1"/>
  <c r="Q67" i="29"/>
  <c r="Q69" i="29"/>
  <c r="P62" i="29"/>
  <c r="Q62" i="29" s="1"/>
  <c r="P60" i="29"/>
  <c r="Q60" i="29" s="1"/>
  <c r="P79" i="29"/>
  <c r="Q79" i="29" s="1"/>
  <c r="P70" i="29"/>
  <c r="Q70" i="29" s="1"/>
  <c r="P61" i="29"/>
  <c r="Q61" i="29" s="1"/>
  <c r="P50" i="29"/>
  <c r="Q50" i="29" s="1"/>
  <c r="P58" i="29"/>
  <c r="Q58" i="29" s="1"/>
  <c r="P59" i="29"/>
  <c r="Q59" i="29" s="1"/>
  <c r="P71" i="29"/>
  <c r="Q71" i="29" s="1"/>
  <c r="P111" i="29"/>
  <c r="Q111" i="29" s="1"/>
  <c r="P133" i="29"/>
  <c r="Q133" i="29" s="1"/>
  <c r="Q74" i="29"/>
  <c r="P51" i="29"/>
  <c r="Q51" i="29" s="1"/>
  <c r="Q82" i="29"/>
  <c r="P106" i="29"/>
  <c r="Q106" i="29" s="1"/>
  <c r="Q29" i="29"/>
  <c r="P34" i="29"/>
  <c r="Q31" i="29"/>
  <c r="Q42" i="29"/>
  <c r="P44" i="29"/>
  <c r="Q44" i="29" s="1"/>
  <c r="P40" i="29"/>
  <c r="L223" i="29"/>
  <c r="K223" i="29"/>
  <c r="O223" i="29" s="1"/>
  <c r="K222" i="29"/>
  <c r="L221" i="29"/>
  <c r="K221" i="29"/>
  <c r="K220" i="29"/>
  <c r="L219" i="29"/>
  <c r="K219" i="29"/>
  <c r="K214" i="29"/>
  <c r="O214" i="29" s="1"/>
  <c r="L214" i="29"/>
  <c r="K215" i="29"/>
  <c r="O215" i="29" s="1"/>
  <c r="L215" i="29"/>
  <c r="K216" i="29"/>
  <c r="O216" i="29" s="1"/>
  <c r="L213" i="29"/>
  <c r="K213" i="29"/>
  <c r="O213" i="29" s="1"/>
  <c r="N212" i="29"/>
  <c r="N135" i="29"/>
  <c r="N109" i="29"/>
  <c r="P223" i="29" l="1"/>
  <c r="Q223" i="29" s="1"/>
  <c r="P213" i="29"/>
  <c r="Q213" i="29" s="1"/>
  <c r="O221" i="29"/>
  <c r="S221" i="29" s="1"/>
  <c r="P214" i="29"/>
  <c r="Q214" i="29" s="1"/>
  <c r="O219" i="29"/>
  <c r="P216" i="29"/>
  <c r="Q216" i="29" s="1"/>
  <c r="P215" i="29"/>
  <c r="Q215" i="29" s="1"/>
  <c r="N102" i="29"/>
  <c r="M223" i="29"/>
  <c r="M213" i="29"/>
  <c r="S213" i="29"/>
  <c r="L216" i="29"/>
  <c r="S216" i="29"/>
  <c r="M215" i="29"/>
  <c r="S215" i="29"/>
  <c r="S214" i="29"/>
  <c r="Q34" i="29"/>
  <c r="Q40" i="29"/>
  <c r="M219" i="29"/>
  <c r="K218" i="29"/>
  <c r="M214" i="29"/>
  <c r="M221" i="29"/>
  <c r="L222" i="29"/>
  <c r="L220" i="29"/>
  <c r="K212" i="29"/>
  <c r="V213" i="29" l="1"/>
  <c r="P219" i="29"/>
  <c r="T219" i="29" s="1"/>
  <c r="V223" i="29"/>
  <c r="U223" i="29"/>
  <c r="S219" i="29"/>
  <c r="P221" i="29"/>
  <c r="T221" i="29" s="1"/>
  <c r="V214" i="29"/>
  <c r="N4" i="24" s="1"/>
  <c r="U215" i="29"/>
  <c r="V215" i="29"/>
  <c r="O4" i="24" s="1"/>
  <c r="T215" i="29"/>
  <c r="S212" i="29"/>
  <c r="M216" i="29"/>
  <c r="V216" i="29" s="1"/>
  <c r="T216" i="29"/>
  <c r="T214" i="29"/>
  <c r="L212" i="29"/>
  <c r="S223" i="29"/>
  <c r="O212" i="29"/>
  <c r="U213" i="29"/>
  <c r="M222" i="29"/>
  <c r="N222" i="29" s="1"/>
  <c r="L218" i="29"/>
  <c r="M220" i="29"/>
  <c r="N220" i="29" s="1"/>
  <c r="R215" i="29" l="1"/>
  <c r="Q219" i="29"/>
  <c r="N218" i="29"/>
  <c r="W220" i="29"/>
  <c r="O220" i="29"/>
  <c r="Q221" i="29"/>
  <c r="W222" i="29"/>
  <c r="O222" i="29"/>
  <c r="S222" i="29" s="1"/>
  <c r="O12" i="24"/>
  <c r="O20" i="24"/>
  <c r="O13" i="24"/>
  <c r="O21" i="24"/>
  <c r="O8" i="24"/>
  <c r="O9" i="24"/>
  <c r="O17" i="24"/>
  <c r="O10" i="24"/>
  <c r="O19" i="24"/>
  <c r="O6" i="24"/>
  <c r="O14" i="24"/>
  <c r="O5" i="24"/>
  <c r="O7" i="24"/>
  <c r="O15" i="24"/>
  <c r="O16" i="24"/>
  <c r="O18" i="24"/>
  <c r="O11" i="24"/>
  <c r="V212" i="29"/>
  <c r="T223" i="29"/>
  <c r="R223" i="29" s="1"/>
  <c r="U214" i="29"/>
  <c r="R214" i="29" s="1"/>
  <c r="P212" i="29"/>
  <c r="T213" i="29"/>
  <c r="U216" i="29"/>
  <c r="R216" i="29" s="1"/>
  <c r="M212" i="29"/>
  <c r="M218" i="29"/>
  <c r="W218" i="29" l="1"/>
  <c r="W225" i="29" s="1"/>
  <c r="W232" i="29" s="1"/>
  <c r="W233" i="29" s="1"/>
  <c r="T212" i="29"/>
  <c r="R213" i="29"/>
  <c r="P220" i="29"/>
  <c r="O218" i="29"/>
  <c r="S220" i="29"/>
  <c r="S218" i="29" s="1"/>
  <c r="V221" i="29"/>
  <c r="U221" i="29"/>
  <c r="R221" i="29" s="1"/>
  <c r="V219" i="29"/>
  <c r="U219" i="29"/>
  <c r="R219" i="29" s="1"/>
  <c r="P222" i="29"/>
  <c r="U212" i="29"/>
  <c r="Q212" i="29"/>
  <c r="N86" i="29"/>
  <c r="N66" i="29"/>
  <c r="N53" i="29"/>
  <c r="N238" i="29" s="1"/>
  <c r="N46" i="29"/>
  <c r="N28" i="29"/>
  <c r="N37" i="29"/>
  <c r="F109" i="29"/>
  <c r="G109" i="29"/>
  <c r="H109" i="29"/>
  <c r="I109" i="29"/>
  <c r="I102" i="29" s="1"/>
  <c r="J109" i="29"/>
  <c r="E109" i="29"/>
  <c r="L133" i="29"/>
  <c r="T133" i="29" s="1"/>
  <c r="K133" i="29"/>
  <c r="N225" i="29" l="1"/>
  <c r="N237" i="29"/>
  <c r="N231" i="29"/>
  <c r="Q222" i="29"/>
  <c r="T222" i="29"/>
  <c r="Q220" i="29"/>
  <c r="T220" i="29"/>
  <c r="T218" i="29" s="1"/>
  <c r="P218" i="29"/>
  <c r="R212" i="29"/>
  <c r="M133" i="29"/>
  <c r="S133" i="29"/>
  <c r="N232" i="29"/>
  <c r="N233" i="29" s="1"/>
  <c r="F86" i="29"/>
  <c r="G86" i="29"/>
  <c r="I86" i="29"/>
  <c r="J86" i="29"/>
  <c r="E86" i="29"/>
  <c r="L100" i="29"/>
  <c r="K100" i="29"/>
  <c r="U133" i="29" l="1"/>
  <c r="V133" i="29"/>
  <c r="V220" i="29"/>
  <c r="U220" i="29"/>
  <c r="Q218" i="29"/>
  <c r="V222" i="29"/>
  <c r="U222" i="29"/>
  <c r="R222" i="29" s="1"/>
  <c r="R133" i="29"/>
  <c r="O100" i="29"/>
  <c r="M100" i="29"/>
  <c r="P4" i="24" l="1"/>
  <c r="P23" i="24" s="1"/>
  <c r="V218" i="29"/>
  <c r="R220" i="29"/>
  <c r="R218" i="29" s="1"/>
  <c r="U218" i="29"/>
  <c r="P100" i="29"/>
  <c r="T100" i="29" s="1"/>
  <c r="S100" i="29"/>
  <c r="K137" i="29"/>
  <c r="L137" i="29"/>
  <c r="K138" i="29"/>
  <c r="L138" i="29"/>
  <c r="K139" i="29"/>
  <c r="L139" i="29"/>
  <c r="K140" i="29"/>
  <c r="L140" i="29"/>
  <c r="K141" i="29"/>
  <c r="L141" i="29"/>
  <c r="K142" i="29"/>
  <c r="L142" i="29"/>
  <c r="K143" i="29"/>
  <c r="L143" i="29"/>
  <c r="K145" i="29"/>
  <c r="L145" i="29"/>
  <c r="K146" i="29"/>
  <c r="L146" i="29"/>
  <c r="K147" i="29"/>
  <c r="L147" i="29"/>
  <c r="K148" i="29"/>
  <c r="L148" i="29"/>
  <c r="K149" i="29"/>
  <c r="L149" i="29"/>
  <c r="K150" i="29"/>
  <c r="L150" i="29"/>
  <c r="K151" i="29"/>
  <c r="L151" i="29"/>
  <c r="L152" i="29"/>
  <c r="T152" i="29" s="1"/>
  <c r="L153" i="29"/>
  <c r="T153" i="29" s="1"/>
  <c r="K154" i="29"/>
  <c r="L154" i="29"/>
  <c r="K155" i="29"/>
  <c r="L155" i="29"/>
  <c r="K156" i="29"/>
  <c r="L156" i="29"/>
  <c r="K157" i="29"/>
  <c r="L157" i="29"/>
  <c r="K158" i="29"/>
  <c r="L158" i="29"/>
  <c r="K159" i="29"/>
  <c r="L159" i="29"/>
  <c r="K160" i="29"/>
  <c r="L160" i="29"/>
  <c r="K161" i="29"/>
  <c r="L161" i="29"/>
  <c r="K162" i="29"/>
  <c r="L162" i="29"/>
  <c r="K163" i="29"/>
  <c r="L163" i="29"/>
  <c r="K164" i="29"/>
  <c r="L164" i="29"/>
  <c r="K165" i="29"/>
  <c r="L165" i="29"/>
  <c r="K166" i="29"/>
  <c r="L166" i="29"/>
  <c r="K167" i="29"/>
  <c r="L167" i="29"/>
  <c r="K168" i="29"/>
  <c r="L168" i="29"/>
  <c r="K169" i="29"/>
  <c r="L169" i="29"/>
  <c r="K170" i="29"/>
  <c r="L170" i="29"/>
  <c r="K171" i="29"/>
  <c r="L171" i="29"/>
  <c r="M171" i="29"/>
  <c r="K172" i="29"/>
  <c r="L172" i="29"/>
  <c r="K173" i="29"/>
  <c r="L173" i="29"/>
  <c r="M173" i="29"/>
  <c r="K174" i="29"/>
  <c r="L174" i="29"/>
  <c r="K175" i="29"/>
  <c r="L175" i="29"/>
  <c r="K176" i="29"/>
  <c r="L176" i="29"/>
  <c r="K177" i="29"/>
  <c r="L177" i="29"/>
  <c r="L178" i="29"/>
  <c r="P178" i="29" s="1"/>
  <c r="K179" i="29"/>
  <c r="L179" i="29"/>
  <c r="K180" i="29"/>
  <c r="L180" i="29"/>
  <c r="L181" i="29"/>
  <c r="P181" i="29" s="1"/>
  <c r="K182" i="29"/>
  <c r="L182" i="29"/>
  <c r="K183" i="29"/>
  <c r="L183" i="29"/>
  <c r="K184" i="29"/>
  <c r="L184" i="29"/>
  <c r="K185" i="29"/>
  <c r="L185" i="29"/>
  <c r="K186" i="29"/>
  <c r="L186" i="29"/>
  <c r="K187" i="29"/>
  <c r="L187" i="29"/>
  <c r="K188" i="29"/>
  <c r="L188" i="29"/>
  <c r="K189" i="29"/>
  <c r="L189" i="29"/>
  <c r="K190" i="29"/>
  <c r="L190" i="29"/>
  <c r="K191" i="29"/>
  <c r="L191" i="29"/>
  <c r="K192" i="29"/>
  <c r="L192" i="29"/>
  <c r="K193" i="29"/>
  <c r="L193" i="29"/>
  <c r="K194" i="29"/>
  <c r="L194" i="29"/>
  <c r="K195" i="29"/>
  <c r="L195" i="29"/>
  <c r="K196" i="29"/>
  <c r="L196" i="29"/>
  <c r="K197" i="29"/>
  <c r="L197" i="29"/>
  <c r="L198" i="29"/>
  <c r="K199" i="29"/>
  <c r="L199" i="29"/>
  <c r="K200" i="29"/>
  <c r="L200" i="29"/>
  <c r="L202" i="29"/>
  <c r="T202" i="29" s="1"/>
  <c r="L203" i="29"/>
  <c r="L204" i="29"/>
  <c r="L205" i="29"/>
  <c r="L206" i="29"/>
  <c r="L207" i="29"/>
  <c r="L208" i="29"/>
  <c r="L209" i="29"/>
  <c r="L210" i="29"/>
  <c r="L136" i="29"/>
  <c r="K136" i="29"/>
  <c r="K111" i="29"/>
  <c r="S111" i="29" s="1"/>
  <c r="L111" i="29"/>
  <c r="T111" i="29" s="1"/>
  <c r="K112" i="29"/>
  <c r="L112" i="29"/>
  <c r="K113" i="29"/>
  <c r="L113" i="29"/>
  <c r="K114" i="29"/>
  <c r="L114" i="29"/>
  <c r="K115" i="29"/>
  <c r="K116" i="29"/>
  <c r="K117" i="29"/>
  <c r="K118" i="29"/>
  <c r="L118" i="29"/>
  <c r="K119" i="29"/>
  <c r="L119" i="29"/>
  <c r="K120" i="29"/>
  <c r="L120" i="29"/>
  <c r="K121" i="29"/>
  <c r="L121" i="29"/>
  <c r="K122" i="29"/>
  <c r="L122" i="29"/>
  <c r="K123" i="29"/>
  <c r="L123" i="29"/>
  <c r="K124" i="29"/>
  <c r="L124" i="29"/>
  <c r="K125" i="29"/>
  <c r="L125" i="29"/>
  <c r="K126" i="29"/>
  <c r="L126" i="29"/>
  <c r="K127" i="29"/>
  <c r="L127" i="29"/>
  <c r="K128" i="29"/>
  <c r="L128" i="29"/>
  <c r="K129" i="29"/>
  <c r="L129" i="29"/>
  <c r="K130" i="29"/>
  <c r="L130" i="29"/>
  <c r="K131" i="29"/>
  <c r="L131" i="29"/>
  <c r="K132" i="29"/>
  <c r="L132" i="29"/>
  <c r="K110" i="29"/>
  <c r="L107" i="29"/>
  <c r="K107" i="29"/>
  <c r="K106" i="29"/>
  <c r="S106" i="29" s="1"/>
  <c r="L105" i="29"/>
  <c r="K105" i="29"/>
  <c r="O105" i="29" s="1"/>
  <c r="L104" i="29"/>
  <c r="K104" i="29"/>
  <c r="K103" i="29"/>
  <c r="O103" i="29" s="1"/>
  <c r="K88" i="29"/>
  <c r="K89" i="29"/>
  <c r="K90" i="29"/>
  <c r="K91" i="29"/>
  <c r="K92" i="29"/>
  <c r="K93" i="29"/>
  <c r="K94" i="29"/>
  <c r="K95" i="29"/>
  <c r="L95" i="29"/>
  <c r="K96" i="29"/>
  <c r="O96" i="29" s="1"/>
  <c r="L96" i="29"/>
  <c r="K97" i="29"/>
  <c r="K98" i="29"/>
  <c r="K99" i="29"/>
  <c r="K87" i="29"/>
  <c r="K68" i="29"/>
  <c r="S68" i="29" s="1"/>
  <c r="L68" i="29"/>
  <c r="T68" i="29" s="1"/>
  <c r="K69" i="29"/>
  <c r="S69" i="29" s="1"/>
  <c r="L69" i="29"/>
  <c r="T69" i="29" s="1"/>
  <c r="K70" i="29"/>
  <c r="S70" i="29" s="1"/>
  <c r="L70" i="29"/>
  <c r="T70" i="29" s="1"/>
  <c r="K71" i="29"/>
  <c r="L71" i="29"/>
  <c r="T71" i="29" s="1"/>
  <c r="K72" i="29"/>
  <c r="S72" i="29" s="1"/>
  <c r="L72" i="29"/>
  <c r="T72" i="29" s="1"/>
  <c r="K73" i="29"/>
  <c r="K74" i="29"/>
  <c r="S74" i="29" s="1"/>
  <c r="L74" i="29"/>
  <c r="K75" i="29"/>
  <c r="K76" i="29"/>
  <c r="K77" i="29"/>
  <c r="K78" i="29"/>
  <c r="K79" i="29"/>
  <c r="S79" i="29" s="1"/>
  <c r="L79" i="29"/>
  <c r="T79" i="29" s="1"/>
  <c r="K80" i="29"/>
  <c r="K81" i="29"/>
  <c r="S81" i="29" s="1"/>
  <c r="L81" i="29"/>
  <c r="T81" i="29" s="1"/>
  <c r="K82" i="29"/>
  <c r="S82" i="29" s="1"/>
  <c r="L82" i="29"/>
  <c r="T82" i="29" s="1"/>
  <c r="K83" i="29"/>
  <c r="L83" i="29"/>
  <c r="K84" i="29"/>
  <c r="L84" i="29"/>
  <c r="L67" i="29"/>
  <c r="T67" i="29" s="1"/>
  <c r="K67" i="29"/>
  <c r="S67" i="29" s="1"/>
  <c r="K55" i="29"/>
  <c r="L55" i="29"/>
  <c r="K56" i="29"/>
  <c r="S56" i="29" s="1"/>
  <c r="L56" i="29"/>
  <c r="T56" i="29" s="1"/>
  <c r="K57" i="29"/>
  <c r="S57" i="29" s="1"/>
  <c r="L57" i="29"/>
  <c r="T57" i="29" s="1"/>
  <c r="K58" i="29"/>
  <c r="S58" i="29" s="1"/>
  <c r="L58" i="29"/>
  <c r="T58" i="29" s="1"/>
  <c r="K59" i="29"/>
  <c r="L59" i="29"/>
  <c r="T59" i="29" s="1"/>
  <c r="K60" i="29"/>
  <c r="S60" i="29" s="1"/>
  <c r="L60" i="29"/>
  <c r="T60" i="29" s="1"/>
  <c r="K61" i="29"/>
  <c r="S61" i="29" s="1"/>
  <c r="L61" i="29"/>
  <c r="T61" i="29" s="1"/>
  <c r="K62" i="29"/>
  <c r="S62" i="29" s="1"/>
  <c r="L62" i="29"/>
  <c r="T62" i="29" s="1"/>
  <c r="K63" i="29"/>
  <c r="K64" i="29"/>
  <c r="K54" i="29"/>
  <c r="K48" i="29"/>
  <c r="L48" i="29"/>
  <c r="K49" i="29"/>
  <c r="L49" i="29"/>
  <c r="K50" i="29"/>
  <c r="L50" i="29"/>
  <c r="T50" i="29" s="1"/>
  <c r="K51" i="29"/>
  <c r="S51" i="29" s="1"/>
  <c r="L51" i="29"/>
  <c r="T51" i="29" s="1"/>
  <c r="K47" i="29"/>
  <c r="K39" i="29"/>
  <c r="L39" i="29"/>
  <c r="K40" i="29"/>
  <c r="K41" i="29"/>
  <c r="K42" i="29"/>
  <c r="S42" i="29" s="1"/>
  <c r="L42" i="29"/>
  <c r="T42" i="29" s="1"/>
  <c r="K43" i="29"/>
  <c r="L43" i="29"/>
  <c r="K44" i="29"/>
  <c r="S44" i="29" s="1"/>
  <c r="L44" i="29"/>
  <c r="T44" i="29" s="1"/>
  <c r="K38" i="29"/>
  <c r="K30" i="29"/>
  <c r="K31" i="29"/>
  <c r="S31" i="29" s="1"/>
  <c r="L31" i="29"/>
  <c r="T31" i="29" s="1"/>
  <c r="K32" i="29"/>
  <c r="L32" i="29"/>
  <c r="K33" i="29"/>
  <c r="L33" i="29"/>
  <c r="K34" i="29"/>
  <c r="S34" i="29" s="1"/>
  <c r="L34" i="29"/>
  <c r="T34" i="29" s="1"/>
  <c r="K35" i="29"/>
  <c r="L35" i="29"/>
  <c r="L29" i="29"/>
  <c r="T29" i="29" s="1"/>
  <c r="K29" i="29"/>
  <c r="S29" i="29" s="1"/>
  <c r="J135" i="29"/>
  <c r="J102" i="29" s="1"/>
  <c r="I53" i="29"/>
  <c r="I238" i="29" s="1"/>
  <c r="I46" i="29"/>
  <c r="I37" i="29"/>
  <c r="I28" i="29"/>
  <c r="K228" i="29"/>
  <c r="K230" i="29" s="1"/>
  <c r="L228" i="29"/>
  <c r="L230" i="29" s="1"/>
  <c r="M228" i="29"/>
  <c r="M230" i="29" s="1"/>
  <c r="G66" i="29"/>
  <c r="H66" i="29"/>
  <c r="I66" i="29"/>
  <c r="G218" i="29"/>
  <c r="H218" i="29"/>
  <c r="I218" i="29"/>
  <c r="F218" i="29"/>
  <c r="E218" i="29"/>
  <c r="G212" i="29"/>
  <c r="H212" i="29"/>
  <c r="I212" i="29"/>
  <c r="F212" i="29"/>
  <c r="E212" i="29"/>
  <c r="I228" i="29"/>
  <c r="I230" i="29" s="1"/>
  <c r="F135" i="29"/>
  <c r="F102" i="29" s="1"/>
  <c r="G135" i="29"/>
  <c r="H135" i="29"/>
  <c r="H102" i="29" s="1"/>
  <c r="E135" i="29"/>
  <c r="O187" i="29" l="1"/>
  <c r="S187" i="29" s="1"/>
  <c r="O183" i="29"/>
  <c r="S183" i="29" s="1"/>
  <c r="O174" i="29"/>
  <c r="P174" i="29" s="1"/>
  <c r="Q174" i="29" s="1"/>
  <c r="O171" i="29"/>
  <c r="S171" i="29" s="1"/>
  <c r="O163" i="29"/>
  <c r="P163" i="29" s="1"/>
  <c r="Q163" i="29" s="1"/>
  <c r="O155" i="29"/>
  <c r="S155" i="29" s="1"/>
  <c r="O141" i="29"/>
  <c r="S141" i="29" s="1"/>
  <c r="O199" i="29"/>
  <c r="S199" i="29"/>
  <c r="O191" i="29"/>
  <c r="T178" i="29"/>
  <c r="Q178" i="29"/>
  <c r="O167" i="29"/>
  <c r="S167" i="29"/>
  <c r="O159" i="29"/>
  <c r="S159" i="29" s="1"/>
  <c r="O150" i="29"/>
  <c r="P150" i="29" s="1"/>
  <c r="Q150" i="29" s="1"/>
  <c r="O146" i="29"/>
  <c r="S146" i="29"/>
  <c r="O137" i="29"/>
  <c r="P137" i="29" s="1"/>
  <c r="Q137" i="29" s="1"/>
  <c r="M198" i="29"/>
  <c r="P198" i="29"/>
  <c r="Q198" i="29" s="1"/>
  <c r="O194" i="29"/>
  <c r="S194" i="29" s="1"/>
  <c r="O190" i="29"/>
  <c r="P190" i="29" s="1"/>
  <c r="Q190" i="29" s="1"/>
  <c r="O186" i="29"/>
  <c r="S186" i="29" s="1"/>
  <c r="O182" i="29"/>
  <c r="P182" i="29" s="1"/>
  <c r="Q182" i="29" s="1"/>
  <c r="S182" i="29"/>
  <c r="O177" i="29"/>
  <c r="P177" i="29" s="1"/>
  <c r="Q177" i="29" s="1"/>
  <c r="O170" i="29"/>
  <c r="S170" i="29" s="1"/>
  <c r="O166" i="29"/>
  <c r="S166" i="29" s="1"/>
  <c r="O162" i="29"/>
  <c r="S162" i="29"/>
  <c r="O158" i="29"/>
  <c r="P158" i="29" s="1"/>
  <c r="Q158" i="29" s="1"/>
  <c r="O154" i="29"/>
  <c r="S154" i="29" s="1"/>
  <c r="O149" i="29"/>
  <c r="S149" i="29" s="1"/>
  <c r="O140" i="29"/>
  <c r="O99" i="29"/>
  <c r="S99" i="29" s="1"/>
  <c r="T181" i="29"/>
  <c r="Q181" i="29"/>
  <c r="O173" i="29"/>
  <c r="O197" i="29"/>
  <c r="S197" i="29" s="1"/>
  <c r="O193" i="29"/>
  <c r="P193" i="29" s="1"/>
  <c r="Q193" i="29" s="1"/>
  <c r="O189" i="29"/>
  <c r="S189" i="29" s="1"/>
  <c r="O185" i="29"/>
  <c r="P185" i="29" s="1"/>
  <c r="Q185" i="29" s="1"/>
  <c r="O176" i="29"/>
  <c r="O169" i="29"/>
  <c r="P169" i="29" s="1"/>
  <c r="Q169" i="29" s="1"/>
  <c r="O165" i="29"/>
  <c r="S165" i="29" s="1"/>
  <c r="O161" i="29"/>
  <c r="P161" i="29" s="1"/>
  <c r="Q161" i="29" s="1"/>
  <c r="O157" i="29"/>
  <c r="S157" i="29" s="1"/>
  <c r="O148" i="29"/>
  <c r="P148" i="29" s="1"/>
  <c r="Q148" i="29" s="1"/>
  <c r="O143" i="29"/>
  <c r="S143" i="29" s="1"/>
  <c r="O139" i="29"/>
  <c r="O195" i="29"/>
  <c r="S195" i="29" s="1"/>
  <c r="O136" i="29"/>
  <c r="S136" i="29" s="1"/>
  <c r="O180" i="29"/>
  <c r="O172" i="29"/>
  <c r="P172" i="29" s="1"/>
  <c r="Q172" i="29" s="1"/>
  <c r="I237" i="29"/>
  <c r="I231" i="29"/>
  <c r="T193" i="29"/>
  <c r="O196" i="29"/>
  <c r="O192" i="29"/>
  <c r="S192" i="29" s="1"/>
  <c r="O188" i="29"/>
  <c r="O184" i="29"/>
  <c r="O175" i="29"/>
  <c r="S175" i="29" s="1"/>
  <c r="O168" i="29"/>
  <c r="S168" i="29" s="1"/>
  <c r="O164" i="29"/>
  <c r="S164" i="29" s="1"/>
  <c r="O160" i="29"/>
  <c r="S160" i="29" s="1"/>
  <c r="O156" i="29"/>
  <c r="S156" i="29" s="1"/>
  <c r="O151" i="29"/>
  <c r="S151" i="29"/>
  <c r="O147" i="29"/>
  <c r="O142" i="29"/>
  <c r="P142" i="29" s="1"/>
  <c r="Q142" i="29" s="1"/>
  <c r="O138" i="29"/>
  <c r="O89" i="29"/>
  <c r="S89" i="29" s="1"/>
  <c r="O200" i="29"/>
  <c r="S200" i="29" s="1"/>
  <c r="O179" i="29"/>
  <c r="S179" i="29" s="1"/>
  <c r="T163" i="29"/>
  <c r="O145" i="29"/>
  <c r="S145" i="29" s="1"/>
  <c r="M203" i="29"/>
  <c r="P203" i="29"/>
  <c r="P208" i="29"/>
  <c r="M208" i="29"/>
  <c r="P207" i="29"/>
  <c r="M207" i="29"/>
  <c r="P206" i="29"/>
  <c r="M206" i="29"/>
  <c r="P205" i="29"/>
  <c r="M205" i="29"/>
  <c r="P204" i="29"/>
  <c r="M204" i="29"/>
  <c r="P210" i="29"/>
  <c r="M210" i="29"/>
  <c r="P209" i="29"/>
  <c r="M209" i="29"/>
  <c r="G102" i="29"/>
  <c r="M202" i="29"/>
  <c r="M179" i="29"/>
  <c r="M199" i="29"/>
  <c r="M195" i="29"/>
  <c r="M191" i="29"/>
  <c r="M187" i="29"/>
  <c r="M183" i="29"/>
  <c r="M190" i="29"/>
  <c r="V190" i="29" s="1"/>
  <c r="M182" i="29"/>
  <c r="V182" i="29" s="1"/>
  <c r="M181" i="29"/>
  <c r="V181" i="29" s="1"/>
  <c r="M197" i="29"/>
  <c r="M193" i="29"/>
  <c r="V193" i="29" s="1"/>
  <c r="M189" i="29"/>
  <c r="M185" i="29"/>
  <c r="M194" i="29"/>
  <c r="M186" i="29"/>
  <c r="M180" i="29"/>
  <c r="M200" i="29"/>
  <c r="M196" i="29"/>
  <c r="M192" i="29"/>
  <c r="M188" i="29"/>
  <c r="M184" i="29"/>
  <c r="M152" i="29"/>
  <c r="Q100" i="29"/>
  <c r="L38" i="29"/>
  <c r="M38" i="29" s="1"/>
  <c r="O38" i="29"/>
  <c r="S38" i="29" s="1"/>
  <c r="L91" i="29"/>
  <c r="M91" i="29" s="1"/>
  <c r="O91" i="29"/>
  <c r="O131" i="29"/>
  <c r="O123" i="29"/>
  <c r="S123" i="29" s="1"/>
  <c r="L90" i="29"/>
  <c r="M90" i="29" s="1"/>
  <c r="O90" i="29"/>
  <c r="S90" i="29" s="1"/>
  <c r="O39" i="29"/>
  <c r="S39" i="29" s="1"/>
  <c r="O84" i="29"/>
  <c r="S84" i="29" s="1"/>
  <c r="L73" i="29"/>
  <c r="O73" i="29"/>
  <c r="S73" i="29" s="1"/>
  <c r="S96" i="29"/>
  <c r="P96" i="29"/>
  <c r="T96" i="29" s="1"/>
  <c r="O107" i="29"/>
  <c r="S107" i="29" s="1"/>
  <c r="O48" i="29"/>
  <c r="S48" i="29" s="1"/>
  <c r="O88" i="29"/>
  <c r="O112" i="29"/>
  <c r="O83" i="29"/>
  <c r="S83" i="29" s="1"/>
  <c r="O78" i="29"/>
  <c r="S78" i="29" s="1"/>
  <c r="O95" i="29"/>
  <c r="S95" i="29" s="1"/>
  <c r="M129" i="29"/>
  <c r="O129" i="29"/>
  <c r="M121" i="29"/>
  <c r="O121" i="29"/>
  <c r="S121" i="29" s="1"/>
  <c r="M137" i="29"/>
  <c r="L77" i="29"/>
  <c r="O77" i="29"/>
  <c r="S77" i="29" s="1"/>
  <c r="O87" i="29"/>
  <c r="M104" i="29"/>
  <c r="O104" i="29"/>
  <c r="O115" i="29"/>
  <c r="M59" i="29"/>
  <c r="S59" i="29"/>
  <c r="M55" i="29"/>
  <c r="O55" i="29"/>
  <c r="S55" i="29" s="1"/>
  <c r="L76" i="29"/>
  <c r="O76" i="29"/>
  <c r="M71" i="29"/>
  <c r="S71" i="29"/>
  <c r="L93" i="29"/>
  <c r="M93" i="29" s="1"/>
  <c r="O93" i="29"/>
  <c r="S93" i="29" s="1"/>
  <c r="O132" i="29"/>
  <c r="S132" i="29" s="1"/>
  <c r="O128" i="29"/>
  <c r="S128" i="29" s="1"/>
  <c r="O124" i="29"/>
  <c r="S124" i="29" s="1"/>
  <c r="M120" i="29"/>
  <c r="O120" i="29"/>
  <c r="L40" i="29"/>
  <c r="T40" i="29" s="1"/>
  <c r="S40" i="29"/>
  <c r="M74" i="29"/>
  <c r="T74" i="29"/>
  <c r="O97" i="29"/>
  <c r="S97" i="29" s="1"/>
  <c r="O127" i="29"/>
  <c r="S127" i="29" s="1"/>
  <c r="O119" i="29"/>
  <c r="S119" i="29" s="1"/>
  <c r="O49" i="29"/>
  <c r="L80" i="29"/>
  <c r="O80" i="29"/>
  <c r="O113" i="29"/>
  <c r="M33" i="29"/>
  <c r="O33" i="29"/>
  <c r="S33" i="29" s="1"/>
  <c r="O130" i="29"/>
  <c r="O126" i="29"/>
  <c r="S126" i="29" s="1"/>
  <c r="O122" i="29"/>
  <c r="S122" i="29" s="1"/>
  <c r="O118" i="29"/>
  <c r="O47" i="29"/>
  <c r="S47" i="29" s="1"/>
  <c r="L117" i="29"/>
  <c r="M117" i="29" s="1"/>
  <c r="O117" i="29"/>
  <c r="O32" i="29"/>
  <c r="O43" i="29"/>
  <c r="S43" i="29" s="1"/>
  <c r="L54" i="29"/>
  <c r="O54" i="29"/>
  <c r="S54" i="29" s="1"/>
  <c r="S103" i="29"/>
  <c r="K109" i="29"/>
  <c r="O110" i="29"/>
  <c r="M125" i="29"/>
  <c r="O125" i="29"/>
  <c r="L116" i="29"/>
  <c r="M116" i="29" s="1"/>
  <c r="O116" i="29"/>
  <c r="S116" i="29" s="1"/>
  <c r="M161" i="29"/>
  <c r="V161" i="29" s="1"/>
  <c r="M141" i="29"/>
  <c r="L64" i="29"/>
  <c r="O64" i="29"/>
  <c r="L94" i="29"/>
  <c r="M94" i="29" s="1"/>
  <c r="O94" i="29"/>
  <c r="M172" i="29"/>
  <c r="O35" i="29"/>
  <c r="S35" i="29" s="1"/>
  <c r="L63" i="29"/>
  <c r="O63" i="29"/>
  <c r="L30" i="29"/>
  <c r="M30" i="29" s="1"/>
  <c r="O30" i="29"/>
  <c r="S30" i="29" s="1"/>
  <c r="L41" i="29"/>
  <c r="M41" i="29" s="1"/>
  <c r="O41" i="29"/>
  <c r="S41" i="29" s="1"/>
  <c r="M50" i="29"/>
  <c r="S50" i="29"/>
  <c r="L75" i="29"/>
  <c r="M75" i="29" s="1"/>
  <c r="O75" i="29"/>
  <c r="L98" i="29"/>
  <c r="M98" i="29" s="1"/>
  <c r="O98" i="29"/>
  <c r="L92" i="29"/>
  <c r="O92" i="29"/>
  <c r="S92" i="29" s="1"/>
  <c r="S105" i="29"/>
  <c r="P105" i="29"/>
  <c r="T105" i="29" s="1"/>
  <c r="O114" i="29"/>
  <c r="M159" i="29"/>
  <c r="M178" i="29"/>
  <c r="V178" i="29" s="1"/>
  <c r="R144" i="29"/>
  <c r="M164" i="29"/>
  <c r="M156" i="29"/>
  <c r="M62" i="29"/>
  <c r="M58" i="29"/>
  <c r="M81" i="29"/>
  <c r="M130" i="29"/>
  <c r="M140" i="29"/>
  <c r="M79" i="29"/>
  <c r="M112" i="29"/>
  <c r="M151" i="29"/>
  <c r="M95" i="29"/>
  <c r="M107" i="29"/>
  <c r="M128" i="29"/>
  <c r="M111" i="29"/>
  <c r="M146" i="29"/>
  <c r="M165" i="29"/>
  <c r="M163" i="29"/>
  <c r="M176" i="29"/>
  <c r="M158" i="29"/>
  <c r="M154" i="29"/>
  <c r="M138" i="29"/>
  <c r="M155" i="29"/>
  <c r="M157" i="29"/>
  <c r="M149" i="29"/>
  <c r="M177" i="29"/>
  <c r="M166" i="29"/>
  <c r="M168" i="29"/>
  <c r="M170" i="29"/>
  <c r="M174" i="29"/>
  <c r="M160" i="29"/>
  <c r="M148" i="29"/>
  <c r="M175" i="29"/>
  <c r="M167" i="29"/>
  <c r="M153" i="29"/>
  <c r="M57" i="29"/>
  <c r="M35" i="29"/>
  <c r="M31" i="29"/>
  <c r="V31" i="29" s="1"/>
  <c r="M51" i="29"/>
  <c r="M60" i="29"/>
  <c r="M126" i="29"/>
  <c r="M48" i="29"/>
  <c r="M72" i="29"/>
  <c r="L88" i="29"/>
  <c r="K86" i="29"/>
  <c r="M105" i="29"/>
  <c r="M114" i="29"/>
  <c r="M131" i="29"/>
  <c r="M127" i="29"/>
  <c r="M122" i="29"/>
  <c r="M119" i="29"/>
  <c r="M113" i="29"/>
  <c r="M43" i="29"/>
  <c r="M118" i="29"/>
  <c r="M142" i="29"/>
  <c r="M34" i="29"/>
  <c r="M70" i="29"/>
  <c r="M124" i="29"/>
  <c r="M162" i="29"/>
  <c r="M145" i="29"/>
  <c r="M49" i="29"/>
  <c r="M56" i="29"/>
  <c r="M139" i="29"/>
  <c r="M83" i="29"/>
  <c r="M169" i="29"/>
  <c r="M29" i="29"/>
  <c r="V29" i="29" s="1"/>
  <c r="M61" i="29"/>
  <c r="M67" i="29"/>
  <c r="M69" i="29"/>
  <c r="M123" i="29"/>
  <c r="M136" i="29"/>
  <c r="M44" i="29"/>
  <c r="M68" i="29"/>
  <c r="M96" i="29"/>
  <c r="M132" i="29"/>
  <c r="M150" i="29"/>
  <c r="M147" i="29"/>
  <c r="M143" i="29"/>
  <c r="L115" i="29"/>
  <c r="L97" i="29"/>
  <c r="L89" i="29"/>
  <c r="M82" i="29"/>
  <c r="M84" i="29"/>
  <c r="L78" i="29"/>
  <c r="M42" i="29"/>
  <c r="M39" i="29"/>
  <c r="M32" i="29"/>
  <c r="L110" i="29"/>
  <c r="L106" i="29"/>
  <c r="L103" i="29"/>
  <c r="P103" i="29" s="1"/>
  <c r="T103" i="29" s="1"/>
  <c r="M92" i="29"/>
  <c r="M88" i="29"/>
  <c r="L87" i="29"/>
  <c r="M80" i="29"/>
  <c r="K66" i="29"/>
  <c r="K53" i="29"/>
  <c r="K238" i="29" s="1"/>
  <c r="L47" i="29"/>
  <c r="L135" i="29"/>
  <c r="K135" i="29"/>
  <c r="K46" i="29"/>
  <c r="K37" i="29"/>
  <c r="K28" i="29"/>
  <c r="I225" i="29"/>
  <c r="I232" i="29" s="1"/>
  <c r="I233" i="29" s="1"/>
  <c r="I235" i="29" s="1"/>
  <c r="V137" i="29" l="1"/>
  <c r="S142" i="29"/>
  <c r="S137" i="29"/>
  <c r="T137" i="29"/>
  <c r="T142" i="29"/>
  <c r="T148" i="29"/>
  <c r="S172" i="29"/>
  <c r="R172" i="29" s="1"/>
  <c r="S148" i="29"/>
  <c r="T169" i="29"/>
  <c r="U185" i="29"/>
  <c r="V172" i="29"/>
  <c r="S161" i="29"/>
  <c r="U150" i="29"/>
  <c r="T158" i="29"/>
  <c r="U174" i="29"/>
  <c r="U198" i="29"/>
  <c r="P184" i="29"/>
  <c r="T184" i="29" s="1"/>
  <c r="Q184" i="29"/>
  <c r="U184" i="29" s="1"/>
  <c r="P139" i="29"/>
  <c r="T139" i="29" s="1"/>
  <c r="Q139" i="29"/>
  <c r="U139" i="29" s="1"/>
  <c r="P176" i="29"/>
  <c r="T176" i="29" s="1"/>
  <c r="P140" i="29"/>
  <c r="T140" i="29" s="1"/>
  <c r="P191" i="29"/>
  <c r="T191" i="29" s="1"/>
  <c r="U44" i="29"/>
  <c r="R44" i="29" s="1"/>
  <c r="V44" i="29"/>
  <c r="U70" i="29"/>
  <c r="R70" i="29" s="1"/>
  <c r="V70" i="29"/>
  <c r="V158" i="29"/>
  <c r="U58" i="29"/>
  <c r="R58" i="29" s="1"/>
  <c r="V58" i="29"/>
  <c r="U71" i="29"/>
  <c r="V71" i="29"/>
  <c r="V202" i="29"/>
  <c r="U202" i="29"/>
  <c r="R202" i="29" s="1"/>
  <c r="T174" i="29"/>
  <c r="P188" i="29"/>
  <c r="T188" i="29" s="1"/>
  <c r="S139" i="29"/>
  <c r="U161" i="29"/>
  <c r="P197" i="29"/>
  <c r="T197" i="29" s="1"/>
  <c r="P173" i="29"/>
  <c r="T173" i="29" s="1"/>
  <c r="S140" i="29"/>
  <c r="P162" i="29"/>
  <c r="T162" i="29" s="1"/>
  <c r="U182" i="29"/>
  <c r="T198" i="29"/>
  <c r="P199" i="29"/>
  <c r="T199" i="29" s="1"/>
  <c r="P171" i="29"/>
  <c r="T171" i="29" s="1"/>
  <c r="P147" i="29"/>
  <c r="T147" i="29" s="1"/>
  <c r="U100" i="29"/>
  <c r="R100" i="29" s="1"/>
  <c r="V100" i="29"/>
  <c r="T185" i="29"/>
  <c r="P151" i="29"/>
  <c r="T151" i="29" s="1"/>
  <c r="P168" i="29"/>
  <c r="T168" i="29" s="1"/>
  <c r="S188" i="29"/>
  <c r="U172" i="29"/>
  <c r="P165" i="29"/>
  <c r="T165" i="29" s="1"/>
  <c r="S185" i="29"/>
  <c r="R185" i="29" s="1"/>
  <c r="S173" i="29"/>
  <c r="P149" i="29"/>
  <c r="T149" i="29" s="1"/>
  <c r="V198" i="29"/>
  <c r="P159" i="29"/>
  <c r="T159" i="29" s="1"/>
  <c r="S174" i="29"/>
  <c r="V163" i="29"/>
  <c r="P138" i="29"/>
  <c r="T138" i="29" s="1"/>
  <c r="P143" i="29"/>
  <c r="T143" i="29" s="1"/>
  <c r="P166" i="29"/>
  <c r="T166" i="29" s="1"/>
  <c r="U68" i="29"/>
  <c r="R68" i="29" s="1"/>
  <c r="V68" i="29"/>
  <c r="P89" i="29"/>
  <c r="Q89" i="29" s="1"/>
  <c r="U42" i="29"/>
  <c r="R42" i="29" s="1"/>
  <c r="V42" i="29"/>
  <c r="U60" i="29"/>
  <c r="R60" i="29" s="1"/>
  <c r="V60" i="29"/>
  <c r="U69" i="29"/>
  <c r="R69" i="29" s="1"/>
  <c r="V69" i="29"/>
  <c r="U51" i="29"/>
  <c r="R51" i="29" s="1"/>
  <c r="V51" i="29"/>
  <c r="V184" i="29"/>
  <c r="V185" i="29"/>
  <c r="S138" i="29"/>
  <c r="P192" i="29"/>
  <c r="T192" i="29" s="1"/>
  <c r="Q192" i="29"/>
  <c r="U192" i="29" s="1"/>
  <c r="R192" i="29" s="1"/>
  <c r="P136" i="29"/>
  <c r="T136" i="29" s="1"/>
  <c r="U148" i="29"/>
  <c r="S169" i="29"/>
  <c r="P189" i="29"/>
  <c r="T189" i="29" s="1"/>
  <c r="U181" i="29"/>
  <c r="R181" i="29" s="1"/>
  <c r="S190" i="29"/>
  <c r="U137" i="29"/>
  <c r="P167" i="29"/>
  <c r="T167" i="29" s="1"/>
  <c r="V169" i="29"/>
  <c r="U72" i="29"/>
  <c r="R72" i="29" s="1"/>
  <c r="V72" i="29"/>
  <c r="U34" i="29"/>
  <c r="R34" i="29" s="1"/>
  <c r="V34" i="29"/>
  <c r="V142" i="29"/>
  <c r="V148" i="29"/>
  <c r="R152" i="29"/>
  <c r="V152" i="29"/>
  <c r="U152" i="29"/>
  <c r="P186" i="29"/>
  <c r="T186" i="29" s="1"/>
  <c r="V150" i="29"/>
  <c r="U67" i="29"/>
  <c r="R67" i="29" s="1"/>
  <c r="V67" i="29"/>
  <c r="V174" i="29"/>
  <c r="U79" i="29"/>
  <c r="R79" i="29" s="1"/>
  <c r="V79" i="29"/>
  <c r="U74" i="29"/>
  <c r="V74" i="29"/>
  <c r="T150" i="29"/>
  <c r="P175" i="29"/>
  <c r="T175" i="29" s="1"/>
  <c r="Q175" i="29"/>
  <c r="U175" i="29" s="1"/>
  <c r="P196" i="29"/>
  <c r="T196" i="29" s="1"/>
  <c r="P180" i="29"/>
  <c r="T180" i="29" s="1"/>
  <c r="U169" i="29"/>
  <c r="P154" i="29"/>
  <c r="T154" i="29" s="1"/>
  <c r="P170" i="29"/>
  <c r="T170" i="29" s="1"/>
  <c r="U190" i="29"/>
  <c r="U178" i="29"/>
  <c r="R178" i="29" s="1"/>
  <c r="T177" i="29"/>
  <c r="P155" i="29"/>
  <c r="T155" i="29" s="1"/>
  <c r="P183" i="29"/>
  <c r="T183" i="29" s="1"/>
  <c r="Q183" i="29"/>
  <c r="U183" i="29" s="1"/>
  <c r="U62" i="29"/>
  <c r="R62" i="29" s="1"/>
  <c r="V62" i="29"/>
  <c r="P179" i="29"/>
  <c r="T179" i="29" s="1"/>
  <c r="P141" i="29"/>
  <c r="T141" i="29" s="1"/>
  <c r="U82" i="29"/>
  <c r="R82" i="29" s="1"/>
  <c r="V82" i="29"/>
  <c r="U61" i="29"/>
  <c r="R61" i="29" s="1"/>
  <c r="V61" i="29"/>
  <c r="U111" i="29"/>
  <c r="R111" i="29" s="1"/>
  <c r="V111" i="29"/>
  <c r="U142" i="29"/>
  <c r="R142" i="29" s="1"/>
  <c r="P160" i="29"/>
  <c r="T160" i="29" s="1"/>
  <c r="Q160" i="29"/>
  <c r="U160" i="29" s="1"/>
  <c r="S196" i="29"/>
  <c r="S180" i="29"/>
  <c r="P157" i="29"/>
  <c r="T157" i="29" s="1"/>
  <c r="T172" i="29"/>
  <c r="S193" i="29"/>
  <c r="S158" i="29"/>
  <c r="S177" i="29"/>
  <c r="P146" i="29"/>
  <c r="T146" i="29" s="1"/>
  <c r="T182" i="29"/>
  <c r="S163" i="29"/>
  <c r="V153" i="29"/>
  <c r="U153" i="29"/>
  <c r="R153" i="29" s="1"/>
  <c r="U81" i="29"/>
  <c r="R81" i="29" s="1"/>
  <c r="V81" i="29"/>
  <c r="K237" i="29"/>
  <c r="K231" i="29"/>
  <c r="U50" i="29"/>
  <c r="R50" i="29" s="1"/>
  <c r="V50" i="29"/>
  <c r="V177" i="29"/>
  <c r="V209" i="29"/>
  <c r="P156" i="29"/>
  <c r="T156" i="29" s="1"/>
  <c r="U56" i="29"/>
  <c r="R56" i="29" s="1"/>
  <c r="V56" i="29"/>
  <c r="T89" i="29"/>
  <c r="U57" i="29"/>
  <c r="R57" i="29" s="1"/>
  <c r="V57" i="29"/>
  <c r="U59" i="29"/>
  <c r="R59" i="29" s="1"/>
  <c r="V59" i="29"/>
  <c r="P200" i="29"/>
  <c r="T200" i="29" s="1"/>
  <c r="S147" i="29"/>
  <c r="P164" i="29"/>
  <c r="T164" i="29" s="1"/>
  <c r="S184" i="29"/>
  <c r="R184" i="29" s="1"/>
  <c r="P195" i="29"/>
  <c r="T195" i="29" s="1"/>
  <c r="S176" i="29"/>
  <c r="U193" i="29"/>
  <c r="R193" i="29" s="1"/>
  <c r="T161" i="29"/>
  <c r="U158" i="29"/>
  <c r="U177" i="29"/>
  <c r="P194" i="29"/>
  <c r="T194" i="29" s="1"/>
  <c r="S150" i="29"/>
  <c r="R150" i="29" s="1"/>
  <c r="S191" i="29"/>
  <c r="T190" i="29"/>
  <c r="U163" i="29"/>
  <c r="P187" i="29"/>
  <c r="T187" i="29" s="1"/>
  <c r="P145" i="29"/>
  <c r="O135" i="29"/>
  <c r="Q206" i="29"/>
  <c r="U206" i="29" s="1"/>
  <c r="T206" i="29"/>
  <c r="T207" i="29"/>
  <c r="Q207" i="29"/>
  <c r="U207" i="29" s="1"/>
  <c r="T210" i="29"/>
  <c r="Q210" i="29"/>
  <c r="U210" i="29" s="1"/>
  <c r="T204" i="29"/>
  <c r="Q204" i="29"/>
  <c r="U204" i="29" s="1"/>
  <c r="Q208" i="29"/>
  <c r="U208" i="29" s="1"/>
  <c r="T208" i="29"/>
  <c r="R208" i="29" s="1"/>
  <c r="Q203" i="29"/>
  <c r="U203" i="29" s="1"/>
  <c r="T203" i="29"/>
  <c r="Q209" i="29"/>
  <c r="U209" i="29" s="1"/>
  <c r="T209" i="29"/>
  <c r="T205" i="29"/>
  <c r="Q205" i="29"/>
  <c r="U205" i="29" s="1"/>
  <c r="R205" i="29" s="1"/>
  <c r="R183" i="29"/>
  <c r="K102" i="29"/>
  <c r="K225" i="29" s="1"/>
  <c r="S37" i="29"/>
  <c r="R71" i="29"/>
  <c r="R74" i="29"/>
  <c r="Q96" i="29"/>
  <c r="V96" i="29" s="1"/>
  <c r="L28" i="29"/>
  <c r="Q105" i="29"/>
  <c r="U105" i="29" s="1"/>
  <c r="R105" i="29" s="1"/>
  <c r="Q103" i="29"/>
  <c r="P110" i="29"/>
  <c r="Q110" i="29" s="1"/>
  <c r="O109" i="29"/>
  <c r="P115" i="29"/>
  <c r="T115" i="29" s="1"/>
  <c r="P75" i="29"/>
  <c r="Q75" i="29" s="1"/>
  <c r="U75" i="29" s="1"/>
  <c r="P117" i="29"/>
  <c r="T117" i="29" s="1"/>
  <c r="R198" i="29"/>
  <c r="P119" i="29"/>
  <c r="T119" i="29" s="1"/>
  <c r="S115" i="29"/>
  <c r="P90" i="29"/>
  <c r="T90" i="29" s="1"/>
  <c r="S75" i="29"/>
  <c r="P94" i="29"/>
  <c r="Q94" i="29" s="1"/>
  <c r="U94" i="29" s="1"/>
  <c r="S117" i="29"/>
  <c r="P49" i="29"/>
  <c r="T49" i="29" s="1"/>
  <c r="P88" i="29"/>
  <c r="T88" i="29" s="1"/>
  <c r="Q88" i="29"/>
  <c r="U88" i="29" s="1"/>
  <c r="P114" i="29"/>
  <c r="T114" i="29" s="1"/>
  <c r="P35" i="29"/>
  <c r="T35" i="29" s="1"/>
  <c r="S94" i="29"/>
  <c r="P33" i="29"/>
  <c r="T33" i="29" s="1"/>
  <c r="P127" i="29"/>
  <c r="T127" i="29" s="1"/>
  <c r="P93" i="29"/>
  <c r="T93" i="29" s="1"/>
  <c r="P107" i="29"/>
  <c r="T107" i="29" s="1"/>
  <c r="S114" i="29"/>
  <c r="P30" i="29"/>
  <c r="Q30" i="29" s="1"/>
  <c r="U30" i="29" s="1"/>
  <c r="O28" i="29"/>
  <c r="P124" i="29"/>
  <c r="T124" i="29" s="1"/>
  <c r="P104" i="29"/>
  <c r="T104" i="29" s="1"/>
  <c r="M106" i="29"/>
  <c r="T106" i="29"/>
  <c r="P130" i="29"/>
  <c r="T130" i="29" s="1"/>
  <c r="P97" i="29"/>
  <c r="T97" i="29" s="1"/>
  <c r="S104" i="29"/>
  <c r="P131" i="29"/>
  <c r="T131" i="29" s="1"/>
  <c r="M76" i="29"/>
  <c r="P63" i="29"/>
  <c r="Q63" i="29" s="1"/>
  <c r="P64" i="29"/>
  <c r="T64" i="29" s="1"/>
  <c r="S130" i="29"/>
  <c r="P128" i="29"/>
  <c r="T128" i="29" s="1"/>
  <c r="P112" i="29"/>
  <c r="T112" i="29" s="1"/>
  <c r="P39" i="29"/>
  <c r="T39" i="29" s="1"/>
  <c r="S131" i="29"/>
  <c r="O37" i="29"/>
  <c r="P38" i="29"/>
  <c r="Q38" i="29" s="1"/>
  <c r="U38" i="29" s="1"/>
  <c r="L66" i="29"/>
  <c r="P118" i="29"/>
  <c r="T118" i="29" s="1"/>
  <c r="P80" i="29"/>
  <c r="T80" i="29" s="1"/>
  <c r="P120" i="29"/>
  <c r="T120" i="29" s="1"/>
  <c r="P76" i="29"/>
  <c r="Q76" i="29" s="1"/>
  <c r="P87" i="29"/>
  <c r="T87" i="29" s="1"/>
  <c r="O86" i="29"/>
  <c r="P129" i="29"/>
  <c r="T129" i="29" s="1"/>
  <c r="P91" i="29"/>
  <c r="T91" i="29" s="1"/>
  <c r="P41" i="29"/>
  <c r="T41" i="29" s="1"/>
  <c r="P116" i="29"/>
  <c r="T116" i="29" s="1"/>
  <c r="P122" i="29"/>
  <c r="T122" i="29" s="1"/>
  <c r="S120" i="29"/>
  <c r="S76" i="29"/>
  <c r="P77" i="29"/>
  <c r="T77" i="29" s="1"/>
  <c r="P43" i="29"/>
  <c r="T43" i="29" s="1"/>
  <c r="P113" i="29"/>
  <c r="T113" i="29" s="1"/>
  <c r="P32" i="29"/>
  <c r="T32" i="29" s="1"/>
  <c r="S113" i="29"/>
  <c r="S49" i="29"/>
  <c r="P55" i="29"/>
  <c r="T55" i="29" s="1"/>
  <c r="P95" i="29"/>
  <c r="T95" i="29" s="1"/>
  <c r="S88" i="29"/>
  <c r="P84" i="29"/>
  <c r="T84" i="29" s="1"/>
  <c r="P123" i="29"/>
  <c r="T123" i="29" s="1"/>
  <c r="L53" i="29"/>
  <c r="L238" i="29" s="1"/>
  <c r="M63" i="29"/>
  <c r="P125" i="29"/>
  <c r="T125" i="29" s="1"/>
  <c r="S32" i="29"/>
  <c r="S28" i="29" s="1"/>
  <c r="P126" i="29"/>
  <c r="T126" i="29" s="1"/>
  <c r="P121" i="29"/>
  <c r="T121" i="29" s="1"/>
  <c r="U96" i="29"/>
  <c r="R96" i="29" s="1"/>
  <c r="M54" i="29"/>
  <c r="M64" i="29"/>
  <c r="P92" i="29"/>
  <c r="T92" i="29" s="1"/>
  <c r="S125" i="29"/>
  <c r="P78" i="29"/>
  <c r="T78" i="29" s="1"/>
  <c r="P48" i="29"/>
  <c r="T48" i="29" s="1"/>
  <c r="L37" i="29"/>
  <c r="M73" i="29"/>
  <c r="M77" i="29"/>
  <c r="M40" i="29"/>
  <c r="S98" i="29"/>
  <c r="P98" i="29"/>
  <c r="T98" i="29" s="1"/>
  <c r="S63" i="29"/>
  <c r="S64" i="29"/>
  <c r="S110" i="29"/>
  <c r="P54" i="29"/>
  <c r="Q54" i="29" s="1"/>
  <c r="O53" i="29"/>
  <c r="O238" i="29" s="1"/>
  <c r="P47" i="29"/>
  <c r="Q47" i="29" s="1"/>
  <c r="O46" i="29"/>
  <c r="S118" i="29"/>
  <c r="S80" i="29"/>
  <c r="P132" i="29"/>
  <c r="T132" i="29" s="1"/>
  <c r="S87" i="29"/>
  <c r="R137" i="29"/>
  <c r="S129" i="29"/>
  <c r="P83" i="29"/>
  <c r="T83" i="29" s="1"/>
  <c r="S112" i="29"/>
  <c r="P73" i="29"/>
  <c r="T73" i="29" s="1"/>
  <c r="O66" i="29"/>
  <c r="S91" i="29"/>
  <c r="M103" i="29"/>
  <c r="M115" i="29"/>
  <c r="M110" i="29"/>
  <c r="L109" i="29"/>
  <c r="L102" i="29" s="1"/>
  <c r="M89" i="29"/>
  <c r="M47" i="29"/>
  <c r="M78" i="29"/>
  <c r="M97" i="29"/>
  <c r="L46" i="29"/>
  <c r="M87" i="29"/>
  <c r="M135" i="29"/>
  <c r="M28" i="29"/>
  <c r="R177" i="29" l="1"/>
  <c r="Q167" i="29"/>
  <c r="U167" i="29" s="1"/>
  <c r="Q171" i="29"/>
  <c r="Q191" i="29"/>
  <c r="V30" i="29"/>
  <c r="Q151" i="29"/>
  <c r="U151" i="29" s="1"/>
  <c r="R151" i="29" s="1"/>
  <c r="R203" i="29"/>
  <c r="R207" i="29"/>
  <c r="Q154" i="29"/>
  <c r="U154" i="29" s="1"/>
  <c r="R154" i="29" s="1"/>
  <c r="R174" i="29"/>
  <c r="R139" i="29"/>
  <c r="V175" i="29"/>
  <c r="R163" i="29"/>
  <c r="Q138" i="29"/>
  <c r="U138" i="29" s="1"/>
  <c r="R138" i="29" s="1"/>
  <c r="V63" i="29"/>
  <c r="R169" i="29"/>
  <c r="V94" i="29"/>
  <c r="S135" i="29"/>
  <c r="R148" i="29"/>
  <c r="Q157" i="29"/>
  <c r="U157" i="29" s="1"/>
  <c r="R157" i="29" s="1"/>
  <c r="R190" i="29"/>
  <c r="Q141" i="29"/>
  <c r="Q196" i="29"/>
  <c r="U196" i="29" s="1"/>
  <c r="R196" i="29" s="1"/>
  <c r="R182" i="29"/>
  <c r="Q156" i="29"/>
  <c r="R175" i="29"/>
  <c r="Q107" i="29"/>
  <c r="U107" i="29" s="1"/>
  <c r="Q194" i="29"/>
  <c r="U194" i="29" s="1"/>
  <c r="R194" i="29"/>
  <c r="R167" i="29"/>
  <c r="Q197" i="29"/>
  <c r="V54" i="29"/>
  <c r="Q187" i="29"/>
  <c r="U187" i="29" s="1"/>
  <c r="R187" i="29" s="1"/>
  <c r="R158" i="29"/>
  <c r="R160" i="29"/>
  <c r="R161" i="29"/>
  <c r="V110" i="29"/>
  <c r="Q195" i="29"/>
  <c r="V208" i="29"/>
  <c r="V88" i="29"/>
  <c r="U103" i="29"/>
  <c r="R103" i="29" s="1"/>
  <c r="V103" i="29"/>
  <c r="U40" i="29"/>
  <c r="R40" i="29" s="1"/>
  <c r="V40" i="29"/>
  <c r="R204" i="29"/>
  <c r="Q170" i="29"/>
  <c r="Q186" i="29"/>
  <c r="Q136" i="29"/>
  <c r="Q149" i="29"/>
  <c r="Q168" i="29"/>
  <c r="V154" i="29"/>
  <c r="Q162" i="29"/>
  <c r="V38" i="29"/>
  <c r="V183" i="29"/>
  <c r="V167" i="29"/>
  <c r="V194" i="29"/>
  <c r="Q164" i="29"/>
  <c r="Q179" i="29"/>
  <c r="V206" i="29"/>
  <c r="V75" i="29"/>
  <c r="U171" i="29"/>
  <c r="R171" i="29" s="1"/>
  <c r="V171" i="29"/>
  <c r="Q188" i="29"/>
  <c r="U106" i="29"/>
  <c r="V106" i="29"/>
  <c r="L237" i="29"/>
  <c r="L231" i="29"/>
  <c r="M46" i="29"/>
  <c r="V47" i="29"/>
  <c r="V76" i="29"/>
  <c r="V160" i="29"/>
  <c r="Q166" i="29"/>
  <c r="Q173" i="29"/>
  <c r="Q140" i="29"/>
  <c r="P135" i="29"/>
  <c r="R210" i="29"/>
  <c r="U89" i="29"/>
  <c r="R89" i="29" s="1"/>
  <c r="V89" i="29"/>
  <c r="O237" i="29"/>
  <c r="O231" i="29"/>
  <c r="Q200" i="29"/>
  <c r="V139" i="29"/>
  <c r="Q155" i="29"/>
  <c r="V207" i="29"/>
  <c r="V105" i="29"/>
  <c r="Q189" i="29"/>
  <c r="Q165" i="29"/>
  <c r="Q199" i="29"/>
  <c r="V205" i="29"/>
  <c r="V204" i="29"/>
  <c r="M231" i="29"/>
  <c r="S231" i="29"/>
  <c r="O102" i="29"/>
  <c r="O225" i="29" s="1"/>
  <c r="Q146" i="29"/>
  <c r="V192" i="29"/>
  <c r="Q180" i="29"/>
  <c r="V210" i="29"/>
  <c r="Q143" i="29"/>
  <c r="Q159" i="29"/>
  <c r="V203" i="29"/>
  <c r="Q147" i="29"/>
  <c r="Q176" i="29"/>
  <c r="Q145" i="29"/>
  <c r="T145" i="29"/>
  <c r="R206" i="29"/>
  <c r="R209" i="29"/>
  <c r="K232" i="29"/>
  <c r="K233" i="29" s="1"/>
  <c r="K235" i="29" s="1"/>
  <c r="T94" i="29"/>
  <c r="R94" i="29" s="1"/>
  <c r="Q93" i="29"/>
  <c r="Q90" i="29"/>
  <c r="Q98" i="29"/>
  <c r="Q91" i="29"/>
  <c r="Q32" i="29"/>
  <c r="V32" i="29" s="1"/>
  <c r="Q41" i="29"/>
  <c r="Q55" i="29"/>
  <c r="T63" i="29"/>
  <c r="T75" i="29"/>
  <c r="R75" i="29" s="1"/>
  <c r="R106" i="29"/>
  <c r="Q127" i="29"/>
  <c r="Q78" i="29"/>
  <c r="U78" i="29" s="1"/>
  <c r="R78" i="29" s="1"/>
  <c r="Q121" i="29"/>
  <c r="Q128" i="29"/>
  <c r="Q33" i="29"/>
  <c r="Q49" i="29"/>
  <c r="Q92" i="29"/>
  <c r="Q43" i="29"/>
  <c r="Q80" i="29"/>
  <c r="Q39" i="29"/>
  <c r="Q129" i="29"/>
  <c r="Q130" i="29"/>
  <c r="Q114" i="29"/>
  <c r="Q117" i="29"/>
  <c r="T54" i="29"/>
  <c r="T53" i="29" s="1"/>
  <c r="T238" i="29" s="1"/>
  <c r="M37" i="29"/>
  <c r="M237" i="29" s="1"/>
  <c r="R88" i="29"/>
  <c r="Q112" i="29"/>
  <c r="T110" i="29"/>
  <c r="T109" i="29" s="1"/>
  <c r="Q126" i="29"/>
  <c r="Q84" i="29"/>
  <c r="R107" i="29"/>
  <c r="Q35" i="29"/>
  <c r="V35" i="29" s="1"/>
  <c r="U63" i="29"/>
  <c r="U76" i="29"/>
  <c r="Q77" i="29"/>
  <c r="U77" i="29" s="1"/>
  <c r="R77" i="29" s="1"/>
  <c r="Q116" i="29"/>
  <c r="T38" i="29"/>
  <c r="T37" i="29" s="1"/>
  <c r="P37" i="29"/>
  <c r="Q64" i="29"/>
  <c r="V64" i="29" s="1"/>
  <c r="Q123" i="29"/>
  <c r="Q113" i="29"/>
  <c r="Q131" i="29"/>
  <c r="Q73" i="29"/>
  <c r="U73" i="29" s="1"/>
  <c r="R73" i="29" s="1"/>
  <c r="Q132" i="29"/>
  <c r="Q48" i="29"/>
  <c r="Q125" i="29"/>
  <c r="Q120" i="29"/>
  <c r="T47" i="29"/>
  <c r="M109" i="29"/>
  <c r="M102" i="29" s="1"/>
  <c r="U110" i="29"/>
  <c r="S109" i="29"/>
  <c r="S102" i="29" s="1"/>
  <c r="S66" i="29"/>
  <c r="Q122" i="29"/>
  <c r="T30" i="29"/>
  <c r="T28" i="29" s="1"/>
  <c r="P28" i="29"/>
  <c r="T76" i="29"/>
  <c r="Q119" i="29"/>
  <c r="S86" i="29"/>
  <c r="Q124" i="29"/>
  <c r="U47" i="29"/>
  <c r="P53" i="29"/>
  <c r="P238" i="29" s="1"/>
  <c r="U54" i="29"/>
  <c r="S46" i="29"/>
  <c r="S237" i="29" s="1"/>
  <c r="M66" i="29"/>
  <c r="M53" i="29"/>
  <c r="M238" i="29" s="1"/>
  <c r="Q83" i="29"/>
  <c r="Q95" i="29"/>
  <c r="Q87" i="29"/>
  <c r="U87" i="29" s="1"/>
  <c r="R87" i="29" s="1"/>
  <c r="Q118" i="29"/>
  <c r="S53" i="29"/>
  <c r="S238" i="29" s="1"/>
  <c r="Q97" i="29"/>
  <c r="U97" i="29" s="1"/>
  <c r="R97" i="29" s="1"/>
  <c r="Q104" i="29"/>
  <c r="Q115" i="29"/>
  <c r="P46" i="29"/>
  <c r="P66" i="29"/>
  <c r="P109" i="29"/>
  <c r="P102" i="29" s="1"/>
  <c r="V78" i="29" l="1"/>
  <c r="O232" i="29"/>
  <c r="O233" i="29" s="1"/>
  <c r="O235" i="29" s="1"/>
  <c r="U191" i="29"/>
  <c r="R191" i="29" s="1"/>
  <c r="V191" i="29"/>
  <c r="R63" i="29"/>
  <c r="V138" i="29"/>
  <c r="V157" i="29"/>
  <c r="V196" i="29"/>
  <c r="V151" i="29"/>
  <c r="V107" i="29"/>
  <c r="U156" i="29"/>
  <c r="R156" i="29" s="1"/>
  <c r="V156" i="29"/>
  <c r="U197" i="29"/>
  <c r="R197" i="29" s="1"/>
  <c r="V197" i="29"/>
  <c r="U141" i="29"/>
  <c r="R141" i="29" s="1"/>
  <c r="V141" i="29"/>
  <c r="V187" i="29"/>
  <c r="P237" i="29"/>
  <c r="P231" i="29"/>
  <c r="T231" i="29"/>
  <c r="U92" i="29"/>
  <c r="R92" i="29" s="1"/>
  <c r="V92" i="29"/>
  <c r="U93" i="29"/>
  <c r="R93" i="29" s="1"/>
  <c r="V93" i="29"/>
  <c r="S225" i="29"/>
  <c r="U199" i="29"/>
  <c r="R199" i="29" s="1"/>
  <c r="V199" i="29"/>
  <c r="U173" i="29"/>
  <c r="R173" i="29" s="1"/>
  <c r="V173" i="29"/>
  <c r="U168" i="29"/>
  <c r="R168" i="29" s="1"/>
  <c r="V168" i="29"/>
  <c r="U95" i="29"/>
  <c r="R95" i="29" s="1"/>
  <c r="V95" i="29"/>
  <c r="U48" i="29"/>
  <c r="R48" i="29" s="1"/>
  <c r="V48" i="29"/>
  <c r="U84" i="29"/>
  <c r="R84" i="29" s="1"/>
  <c r="V84" i="29"/>
  <c r="U49" i="29"/>
  <c r="R49" i="29" s="1"/>
  <c r="V49" i="29"/>
  <c r="U145" i="29"/>
  <c r="V145" i="29"/>
  <c r="U165" i="29"/>
  <c r="R165" i="29" s="1"/>
  <c r="V165" i="29"/>
  <c r="U149" i="29"/>
  <c r="R149" i="29" s="1"/>
  <c r="V149" i="29"/>
  <c r="U195" i="29"/>
  <c r="R195" i="29" s="1"/>
  <c r="V195" i="29"/>
  <c r="U83" i="29"/>
  <c r="R83" i="29" s="1"/>
  <c r="V83" i="29"/>
  <c r="U33" i="29"/>
  <c r="R33" i="29" s="1"/>
  <c r="V33" i="29"/>
  <c r="V28" i="29" s="1"/>
  <c r="U55" i="29"/>
  <c r="R55" i="29" s="1"/>
  <c r="V55" i="29"/>
  <c r="V53" i="29" s="1"/>
  <c r="V238" i="29" s="1"/>
  <c r="H4" i="24" s="1"/>
  <c r="U176" i="29"/>
  <c r="R176" i="29" s="1"/>
  <c r="V176" i="29"/>
  <c r="U180" i="29"/>
  <c r="R180" i="29" s="1"/>
  <c r="V180" i="29"/>
  <c r="U189" i="29"/>
  <c r="R189" i="29" s="1"/>
  <c r="V189" i="29"/>
  <c r="U166" i="29"/>
  <c r="R166" i="29" s="1"/>
  <c r="V166" i="29"/>
  <c r="V73" i="29"/>
  <c r="U136" i="29"/>
  <c r="R136" i="29" s="1"/>
  <c r="V136" i="29"/>
  <c r="U41" i="29"/>
  <c r="R41" i="29" s="1"/>
  <c r="V41" i="29"/>
  <c r="U39" i="29"/>
  <c r="R39" i="29" s="1"/>
  <c r="V39" i="29"/>
  <c r="T135" i="29"/>
  <c r="U146" i="29"/>
  <c r="R146" i="29" s="1"/>
  <c r="V146" i="29"/>
  <c r="V77" i="29"/>
  <c r="U179" i="29"/>
  <c r="R179" i="29" s="1"/>
  <c r="V179" i="29"/>
  <c r="V87" i="29"/>
  <c r="U186" i="29"/>
  <c r="R186" i="29" s="1"/>
  <c r="V186" i="29"/>
  <c r="U80" i="29"/>
  <c r="R80" i="29" s="1"/>
  <c r="V80" i="29"/>
  <c r="U91" i="29"/>
  <c r="R91" i="29" s="1"/>
  <c r="V91" i="29"/>
  <c r="U159" i="29"/>
  <c r="R159" i="29" s="1"/>
  <c r="V159" i="29"/>
  <c r="V97" i="29"/>
  <c r="U155" i="29"/>
  <c r="R155" i="29" s="1"/>
  <c r="V155" i="29"/>
  <c r="U170" i="29"/>
  <c r="R170" i="29" s="1"/>
  <c r="V170" i="29"/>
  <c r="U147" i="29"/>
  <c r="R147" i="29" s="1"/>
  <c r="V147" i="29"/>
  <c r="U104" i="29"/>
  <c r="R104" i="29" s="1"/>
  <c r="V104" i="29"/>
  <c r="U43" i="29"/>
  <c r="R43" i="29" s="1"/>
  <c r="V43" i="29"/>
  <c r="U98" i="29"/>
  <c r="R98" i="29" s="1"/>
  <c r="V98" i="29"/>
  <c r="L4" i="24" s="1"/>
  <c r="U143" i="29"/>
  <c r="R143" i="29" s="1"/>
  <c r="V143" i="29"/>
  <c r="U188" i="29"/>
  <c r="R188" i="29" s="1"/>
  <c r="V188" i="29"/>
  <c r="U164" i="29"/>
  <c r="R164" i="29" s="1"/>
  <c r="V164" i="29"/>
  <c r="U162" i="29"/>
  <c r="R162" i="29" s="1"/>
  <c r="V162" i="29"/>
  <c r="U90" i="29"/>
  <c r="R90" i="29" s="1"/>
  <c r="V90" i="29"/>
  <c r="K4" i="24" s="1"/>
  <c r="Q135" i="29"/>
  <c r="U200" i="29"/>
  <c r="R200" i="29" s="1"/>
  <c r="V200" i="29"/>
  <c r="U140" i="29"/>
  <c r="R140" i="29" s="1"/>
  <c r="V140" i="29"/>
  <c r="U131" i="29"/>
  <c r="R131" i="29" s="1"/>
  <c r="V131" i="29"/>
  <c r="U112" i="29"/>
  <c r="R112" i="29" s="1"/>
  <c r="V112" i="29"/>
  <c r="U127" i="29"/>
  <c r="R127" i="29" s="1"/>
  <c r="V127" i="29"/>
  <c r="U121" i="29"/>
  <c r="R121" i="29" s="1"/>
  <c r="V121" i="29"/>
  <c r="U120" i="29"/>
  <c r="R120" i="29" s="1"/>
  <c r="V120" i="29"/>
  <c r="U117" i="29"/>
  <c r="R117" i="29" s="1"/>
  <c r="V117" i="29"/>
  <c r="U129" i="29"/>
  <c r="R129" i="29" s="1"/>
  <c r="V129" i="29"/>
  <c r="U119" i="29"/>
  <c r="R119" i="29" s="1"/>
  <c r="V119" i="29"/>
  <c r="U123" i="29"/>
  <c r="R123" i="29" s="1"/>
  <c r="V123" i="29"/>
  <c r="U118" i="29"/>
  <c r="R118" i="29" s="1"/>
  <c r="V118" i="29"/>
  <c r="U125" i="29"/>
  <c r="R125" i="29" s="1"/>
  <c r="V125" i="29"/>
  <c r="U122" i="29"/>
  <c r="R122" i="29" s="1"/>
  <c r="V122" i="29"/>
  <c r="U115" i="29"/>
  <c r="R115" i="29" s="1"/>
  <c r="V115" i="29"/>
  <c r="U124" i="29"/>
  <c r="R124" i="29" s="1"/>
  <c r="V124" i="29"/>
  <c r="U132" i="29"/>
  <c r="R132" i="29" s="1"/>
  <c r="V132" i="29"/>
  <c r="U114" i="29"/>
  <c r="R114" i="29" s="1"/>
  <c r="V114" i="29"/>
  <c r="U128" i="29"/>
  <c r="R128" i="29" s="1"/>
  <c r="V128" i="29"/>
  <c r="U113" i="29"/>
  <c r="R113" i="29" s="1"/>
  <c r="V113" i="29"/>
  <c r="U116" i="29"/>
  <c r="R116" i="29" s="1"/>
  <c r="V116" i="29"/>
  <c r="U126" i="29"/>
  <c r="R126" i="29" s="1"/>
  <c r="V126" i="29"/>
  <c r="U130" i="29"/>
  <c r="R130" i="29" s="1"/>
  <c r="V130" i="29"/>
  <c r="T102" i="29"/>
  <c r="T66" i="29"/>
  <c r="R54" i="29"/>
  <c r="Q53" i="29"/>
  <c r="Q238" i="29" s="1"/>
  <c r="Q28" i="29"/>
  <c r="U64" i="29"/>
  <c r="R64" i="29" s="1"/>
  <c r="R53" i="29" s="1"/>
  <c r="R238" i="29" s="1"/>
  <c r="R110" i="29"/>
  <c r="Q37" i="29"/>
  <c r="R30" i="29"/>
  <c r="R76" i="29"/>
  <c r="R38" i="29"/>
  <c r="T46" i="29"/>
  <c r="R47" i="29"/>
  <c r="Q109" i="29"/>
  <c r="Q102" i="29" s="1"/>
  <c r="Q66" i="29"/>
  <c r="Q46" i="29"/>
  <c r="E102" i="29"/>
  <c r="H99" i="29"/>
  <c r="U37" i="29" l="1"/>
  <c r="R37" i="29"/>
  <c r="V37" i="29"/>
  <c r="V46" i="29"/>
  <c r="V237" i="29" s="1"/>
  <c r="G4" i="24" s="1"/>
  <c r="V231" i="29"/>
  <c r="Q237" i="29"/>
  <c r="Q231" i="29"/>
  <c r="T237" i="29"/>
  <c r="U109" i="29"/>
  <c r="V135" i="29"/>
  <c r="U135" i="29"/>
  <c r="R145" i="29"/>
  <c r="R135" i="29" s="1"/>
  <c r="V66" i="29"/>
  <c r="I4" i="24" s="1"/>
  <c r="S232" i="29"/>
  <c r="S233" i="29" s="1"/>
  <c r="V109" i="29"/>
  <c r="R109" i="29"/>
  <c r="U53" i="29"/>
  <c r="U238" i="29" s="1"/>
  <c r="R66" i="29"/>
  <c r="U66" i="29"/>
  <c r="R46" i="29"/>
  <c r="U46" i="29"/>
  <c r="H86" i="29"/>
  <c r="L99" i="29"/>
  <c r="L86" i="29" s="1"/>
  <c r="F66" i="29"/>
  <c r="E66" i="29"/>
  <c r="H53" i="29"/>
  <c r="H238" i="29" s="1"/>
  <c r="G53" i="29"/>
  <c r="G238" i="29" s="1"/>
  <c r="F53" i="29"/>
  <c r="F238" i="29" s="1"/>
  <c r="E53" i="29"/>
  <c r="E238" i="29" s="1"/>
  <c r="H46" i="29"/>
  <c r="G46" i="29"/>
  <c r="F46" i="29"/>
  <c r="E46" i="29"/>
  <c r="H37" i="29"/>
  <c r="G37" i="29"/>
  <c r="F37" i="29"/>
  <c r="E37" i="29"/>
  <c r="U102" i="29" l="1"/>
  <c r="R102" i="29"/>
  <c r="L225" i="29"/>
  <c r="L232" i="29" s="1"/>
  <c r="L233" i="29" s="1"/>
  <c r="L235" i="29" s="1"/>
  <c r="V102" i="29"/>
  <c r="P99" i="29"/>
  <c r="Q99" i="29" s="1"/>
  <c r="S23" i="29"/>
  <c r="S228" i="29" s="1"/>
  <c r="S230" i="29" s="1"/>
  <c r="S235" i="29" s="1"/>
  <c r="M4" i="24"/>
  <c r="M99" i="29"/>
  <c r="G28" i="29"/>
  <c r="H28" i="29"/>
  <c r="U35" i="29"/>
  <c r="R35" i="29" s="1"/>
  <c r="U32" i="29"/>
  <c r="R32" i="29" s="1"/>
  <c r="U31" i="29"/>
  <c r="R31" i="29" s="1"/>
  <c r="E28" i="29"/>
  <c r="E237" i="29" s="1"/>
  <c r="H228" i="29"/>
  <c r="H230" i="29" s="1"/>
  <c r="G228" i="29"/>
  <c r="G230" i="29" s="1"/>
  <c r="E228" i="29"/>
  <c r="E230" i="29" s="1"/>
  <c r="H225" i="29" l="1"/>
  <c r="H237" i="29"/>
  <c r="H231" i="29"/>
  <c r="G225" i="29"/>
  <c r="G237" i="29"/>
  <c r="G231" i="29"/>
  <c r="V99" i="29"/>
  <c r="V86" i="29" s="1"/>
  <c r="T99" i="29"/>
  <c r="R99" i="29" s="1"/>
  <c r="E225" i="29"/>
  <c r="E231" i="29"/>
  <c r="M86" i="29"/>
  <c r="U99" i="29"/>
  <c r="U29" i="29"/>
  <c r="R29" i="29" s="1"/>
  <c r="R28" i="29" s="1"/>
  <c r="P86" i="29"/>
  <c r="F28" i="29"/>
  <c r="F237" i="29" s="1"/>
  <c r="G232" i="29" l="1"/>
  <c r="G233" i="29" s="1"/>
  <c r="G235" i="29" s="1"/>
  <c r="T86" i="29"/>
  <c r="T225" i="29" s="1"/>
  <c r="T232" i="29" s="1"/>
  <c r="T233" i="29" s="1"/>
  <c r="J4" i="24"/>
  <c r="Q4" i="24" s="1"/>
  <c r="W4" i="24" s="1"/>
  <c r="X4" i="24" s="1"/>
  <c r="V225" i="29"/>
  <c r="V232" i="29" s="1"/>
  <c r="V233" i="29" s="1"/>
  <c r="P225" i="29"/>
  <c r="P232" i="29" s="1"/>
  <c r="P233" i="29" s="1"/>
  <c r="P235" i="29" s="1"/>
  <c r="M225" i="29"/>
  <c r="M232" i="29" s="1"/>
  <c r="M233" i="29" s="1"/>
  <c r="M235" i="29" s="1"/>
  <c r="U28" i="29"/>
  <c r="R237" i="29"/>
  <c r="H232" i="29"/>
  <c r="H233" i="29" s="1"/>
  <c r="H235" i="29" s="1"/>
  <c r="F225" i="29"/>
  <c r="F231" i="29"/>
  <c r="R231" i="29"/>
  <c r="E232" i="29"/>
  <c r="E233" i="29" s="1"/>
  <c r="E235" i="29" s="1"/>
  <c r="Q86" i="29"/>
  <c r="Q225" i="29" s="1"/>
  <c r="S23" i="24"/>
  <c r="U237" i="29" l="1"/>
  <c r="U231" i="29"/>
  <c r="T23" i="29"/>
  <c r="T228" i="29" s="1"/>
  <c r="T230" i="29" s="1"/>
  <c r="T235" i="29" s="1"/>
  <c r="X22" i="29"/>
  <c r="Q232" i="29"/>
  <c r="Q233" i="29" s="1"/>
  <c r="F232" i="29"/>
  <c r="F233" i="29" s="1"/>
  <c r="F235" i="29" s="1"/>
  <c r="R86" i="29"/>
  <c r="R225" i="29" s="1"/>
  <c r="U86" i="29"/>
  <c r="R5" i="24"/>
  <c r="U225" i="29" l="1"/>
  <c r="U232" i="29" s="1"/>
  <c r="U233" i="29" s="1"/>
  <c r="U23" i="29"/>
  <c r="R23" i="29"/>
  <c r="R232" i="29"/>
  <c r="R233" i="29" s="1"/>
  <c r="N22" i="29"/>
  <c r="Q228" i="29"/>
  <c r="Q230" i="29" s="1"/>
  <c r="Q235" i="29" s="1"/>
  <c r="J228" i="29"/>
  <c r="J230" i="29" s="1"/>
  <c r="J28" i="29"/>
  <c r="J37" i="29"/>
  <c r="J46" i="29"/>
  <c r="J53" i="29"/>
  <c r="J238" i="29" s="1"/>
  <c r="J66" i="29"/>
  <c r="J212" i="29"/>
  <c r="N23" i="29" l="1"/>
  <c r="V22" i="29"/>
  <c r="V23" i="29" s="1"/>
  <c r="V228" i="29" s="1"/>
  <c r="V230" i="29" s="1"/>
  <c r="V235" i="29" s="1"/>
  <c r="W22" i="29"/>
  <c r="W23" i="29" s="1"/>
  <c r="W228" i="29" s="1"/>
  <c r="W230" i="29" s="1"/>
  <c r="W235" i="29" s="1"/>
  <c r="J231" i="29"/>
  <c r="J237" i="29"/>
  <c r="N228" i="29"/>
  <c r="N230" i="29" s="1"/>
  <c r="N235" i="29" s="1"/>
  <c r="R228" i="29"/>
  <c r="R230" i="29" s="1"/>
  <c r="R235" i="29" s="1"/>
  <c r="U228" i="29"/>
  <c r="U230" i="29" s="1"/>
  <c r="U235" i="29" s="1"/>
  <c r="J225" i="29"/>
  <c r="J232" i="29" l="1"/>
  <c r="J233" i="29" s="1"/>
  <c r="J235" i="29" s="1"/>
  <c r="E8" i="24"/>
  <c r="E6" i="24"/>
  <c r="E5" i="24"/>
  <c r="O23" i="24" l="1"/>
  <c r="F17" i="24" l="1"/>
  <c r="F18" i="24"/>
  <c r="F19" i="24"/>
  <c r="L6" i="24" l="1"/>
  <c r="E21" i="24"/>
  <c r="E20" i="24"/>
  <c r="E19" i="24"/>
  <c r="E18" i="24"/>
  <c r="E17" i="24"/>
  <c r="E16" i="24"/>
  <c r="E15" i="24"/>
  <c r="E14" i="24"/>
  <c r="E13" i="24"/>
  <c r="E12" i="24"/>
  <c r="E11" i="24"/>
  <c r="E10" i="24"/>
  <c r="L9" i="24" l="1"/>
  <c r="L11" i="24"/>
  <c r="L19" i="24"/>
  <c r="L13" i="24"/>
  <c r="L21" i="24"/>
  <c r="K19" i="24"/>
  <c r="K17" i="24"/>
  <c r="K5" i="24"/>
  <c r="K18" i="24"/>
  <c r="L20" i="24"/>
  <c r="L17" i="24"/>
  <c r="L12" i="24"/>
  <c r="L18" i="24"/>
  <c r="L10" i="24"/>
  <c r="L16" i="24"/>
  <c r="L8" i="24"/>
  <c r="L15" i="24"/>
  <c r="L7" i="24"/>
  <c r="E23" i="24"/>
  <c r="L5" i="24"/>
  <c r="L14" i="24"/>
  <c r="L23" i="24" l="1"/>
  <c r="N5" i="24" l="1"/>
  <c r="D7" i="24" l="1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6" i="24"/>
  <c r="D23" i="24" l="1"/>
  <c r="M5" i="24" l="1"/>
  <c r="F14" i="24" l="1"/>
  <c r="K14" i="24" s="1"/>
  <c r="F7" i="24" l="1"/>
  <c r="K7" i="24" s="1"/>
  <c r="F8" i="24"/>
  <c r="K8" i="24" s="1"/>
  <c r="F9" i="24"/>
  <c r="K9" i="24" s="1"/>
  <c r="F10" i="24"/>
  <c r="K10" i="24" s="1"/>
  <c r="F11" i="24"/>
  <c r="K11" i="24" s="1"/>
  <c r="F12" i="24"/>
  <c r="K12" i="24" s="1"/>
  <c r="F13" i="24"/>
  <c r="K13" i="24" s="1"/>
  <c r="F15" i="24"/>
  <c r="K15" i="24" s="1"/>
  <c r="F16" i="24"/>
  <c r="K16" i="24" s="1"/>
  <c r="F20" i="24"/>
  <c r="K20" i="24" s="1"/>
  <c r="F21" i="24"/>
  <c r="K21" i="24" s="1"/>
  <c r="F6" i="24"/>
  <c r="K6" i="24" s="1"/>
  <c r="F23" i="24" l="1"/>
  <c r="B23" i="24" l="1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R15" i="24" l="1"/>
  <c r="R9" i="24"/>
  <c r="R11" i="24"/>
  <c r="R7" i="24"/>
  <c r="R8" i="24"/>
  <c r="R16" i="24"/>
  <c r="R17" i="24"/>
  <c r="R10" i="24"/>
  <c r="R18" i="24"/>
  <c r="R19" i="24"/>
  <c r="R12" i="24"/>
  <c r="R20" i="24"/>
  <c r="R13" i="24"/>
  <c r="R21" i="24"/>
  <c r="R6" i="24"/>
  <c r="R23" i="24" s="1"/>
  <c r="R14" i="24"/>
  <c r="N11" i="24"/>
  <c r="M11" i="24"/>
  <c r="N19" i="24"/>
  <c r="M19" i="24"/>
  <c r="N20" i="24"/>
  <c r="M20" i="24"/>
  <c r="N15" i="24"/>
  <c r="M15" i="24"/>
  <c r="N17" i="24"/>
  <c r="M17" i="24"/>
  <c r="N7" i="24"/>
  <c r="M7" i="24"/>
  <c r="N8" i="24"/>
  <c r="M8" i="24"/>
  <c r="N12" i="24"/>
  <c r="M12" i="24"/>
  <c r="N16" i="24"/>
  <c r="M16" i="24"/>
  <c r="N9" i="24"/>
  <c r="M9" i="24"/>
  <c r="N13" i="24"/>
  <c r="M13" i="24"/>
  <c r="N21" i="24"/>
  <c r="M21" i="24"/>
  <c r="N6" i="24"/>
  <c r="M6" i="24"/>
  <c r="N10" i="24"/>
  <c r="M10" i="24"/>
  <c r="N14" i="24"/>
  <c r="M14" i="24"/>
  <c r="N18" i="24"/>
  <c r="M18" i="24"/>
  <c r="C23" i="24"/>
  <c r="N23" i="24" l="1"/>
  <c r="N24" i="24" s="1"/>
  <c r="K23" i="24"/>
  <c r="J11" i="24" l="1"/>
  <c r="J6" i="24"/>
  <c r="J16" i="24"/>
  <c r="J14" i="24"/>
  <c r="J10" i="24"/>
  <c r="J13" i="24"/>
  <c r="J20" i="24"/>
  <c r="J5" i="24"/>
  <c r="J18" i="24"/>
  <c r="J17" i="24"/>
  <c r="J21" i="24"/>
  <c r="J19" i="24"/>
  <c r="J9" i="24"/>
  <c r="J7" i="24"/>
  <c r="J8" i="24"/>
  <c r="J12" i="24"/>
  <c r="J15" i="24"/>
  <c r="J23" i="24" l="1"/>
  <c r="J24" i="24" s="1"/>
  <c r="H7" i="24" l="1"/>
  <c r="H10" i="24"/>
  <c r="H16" i="24"/>
  <c r="H19" i="24"/>
  <c r="H11" i="24"/>
  <c r="H21" i="24"/>
  <c r="H6" i="24"/>
  <c r="H13" i="24"/>
  <c r="H18" i="24"/>
  <c r="H5" i="24"/>
  <c r="H12" i="24"/>
  <c r="H20" i="24"/>
  <c r="H9" i="24"/>
  <c r="H15" i="24"/>
  <c r="H8" i="24"/>
  <c r="H17" i="24"/>
  <c r="H14" i="24"/>
  <c r="H23" i="24" l="1"/>
  <c r="G20" i="24"/>
  <c r="G9" i="24" l="1"/>
  <c r="G17" i="24"/>
  <c r="G7" i="24"/>
  <c r="G5" i="24"/>
  <c r="G18" i="24"/>
  <c r="G14" i="24"/>
  <c r="G16" i="24"/>
  <c r="G8" i="24"/>
  <c r="G11" i="24"/>
  <c r="G12" i="24"/>
  <c r="G15" i="24"/>
  <c r="G22" i="24"/>
  <c r="Q22" i="24" s="1"/>
  <c r="G21" i="24"/>
  <c r="G19" i="24"/>
  <c r="G10" i="24"/>
  <c r="G13" i="24"/>
  <c r="G6" i="24"/>
  <c r="G23" i="24" l="1"/>
  <c r="G24" i="24" s="1"/>
  <c r="M23" i="24" l="1"/>
  <c r="M24" i="24" s="1"/>
  <c r="T5" i="24"/>
  <c r="T22" i="24"/>
  <c r="T12" i="24"/>
  <c r="T17" i="24"/>
  <c r="T15" i="24"/>
  <c r="T20" i="24"/>
  <c r="T7" i="24"/>
  <c r="T6" i="24"/>
  <c r="T8" i="24"/>
  <c r="T9" i="24"/>
  <c r="T13" i="24"/>
  <c r="T10" i="24"/>
  <c r="T11" i="24"/>
  <c r="T19" i="24"/>
  <c r="T21" i="24"/>
  <c r="T18" i="24"/>
  <c r="T14" i="24"/>
  <c r="T16" i="24"/>
  <c r="W22" i="24" l="1"/>
  <c r="T23" i="24"/>
  <c r="R24" i="24" s="1"/>
  <c r="W27" i="24" l="1"/>
  <c r="X22" i="24"/>
  <c r="X27" i="24" s="1"/>
  <c r="X15" i="29" s="1"/>
  <c r="V27" i="24"/>
  <c r="I6" i="24" l="1"/>
  <c r="Q6" i="24" s="1"/>
  <c r="W6" i="24" s="1"/>
  <c r="I17" i="24"/>
  <c r="Q17" i="24" s="1"/>
  <c r="W17" i="24" s="1"/>
  <c r="X17" i="24" s="1"/>
  <c r="I8" i="24"/>
  <c r="Q8" i="24" s="1"/>
  <c r="W8" i="24" s="1"/>
  <c r="X8" i="24" s="1"/>
  <c r="I12" i="24"/>
  <c r="Q12" i="24" s="1"/>
  <c r="W12" i="24" s="1"/>
  <c r="X12" i="24" s="1"/>
  <c r="I18" i="24"/>
  <c r="Q18" i="24" s="1"/>
  <c r="W18" i="24" s="1"/>
  <c r="X18" i="24" s="1"/>
  <c r="I15" i="24"/>
  <c r="Q15" i="24" s="1"/>
  <c r="W15" i="24" s="1"/>
  <c r="X15" i="24" s="1"/>
  <c r="I14" i="24"/>
  <c r="Q14" i="24" s="1"/>
  <c r="W14" i="24" s="1"/>
  <c r="X14" i="24" s="1"/>
  <c r="I19" i="24"/>
  <c r="Q19" i="24" s="1"/>
  <c r="W19" i="24" s="1"/>
  <c r="X19" i="24" s="1"/>
  <c r="I5" i="24"/>
  <c r="Q5" i="24" s="1"/>
  <c r="W5" i="24" s="1"/>
  <c r="I16" i="24"/>
  <c r="Q16" i="24" s="1"/>
  <c r="W16" i="24" s="1"/>
  <c r="X16" i="24" s="1"/>
  <c r="I20" i="24"/>
  <c r="Q20" i="24" s="1"/>
  <c r="W20" i="24" s="1"/>
  <c r="X20" i="24" s="1"/>
  <c r="I9" i="24"/>
  <c r="Q9" i="24" s="1"/>
  <c r="W9" i="24" s="1"/>
  <c r="X9" i="24" s="1"/>
  <c r="I11" i="24"/>
  <c r="Q11" i="24" s="1"/>
  <c r="W11" i="24" s="1"/>
  <c r="X11" i="24" s="1"/>
  <c r="I7" i="24"/>
  <c r="Q7" i="24" s="1"/>
  <c r="W7" i="24" s="1"/>
  <c r="X7" i="24" s="1"/>
  <c r="I21" i="24"/>
  <c r="Q21" i="24" s="1"/>
  <c r="W21" i="24" s="1"/>
  <c r="X21" i="24" s="1"/>
  <c r="I13" i="24"/>
  <c r="Q13" i="24" s="1"/>
  <c r="W13" i="24" s="1"/>
  <c r="X13" i="24" s="1"/>
  <c r="I10" i="24"/>
  <c r="Q10" i="24" s="1"/>
  <c r="W10" i="24" s="1"/>
  <c r="X10" i="24" s="1"/>
  <c r="X5" i="24" l="1"/>
  <c r="X25" i="24" s="1"/>
  <c r="X10" i="29" s="1"/>
  <c r="W23" i="24"/>
  <c r="W25" i="24"/>
  <c r="W26" i="24"/>
  <c r="X6" i="24"/>
  <c r="X26" i="24" s="1"/>
  <c r="X13" i="29" s="1"/>
  <c r="I23" i="24"/>
  <c r="I24" i="24" s="1"/>
  <c r="Q24" i="24" s="1"/>
  <c r="X24" i="24" s="1"/>
  <c r="X23" i="29" l="1"/>
  <c r="Y4" i="24" s="1"/>
  <c r="X23" i="24"/>
  <c r="V26" i="24"/>
  <c r="V25" i="24"/>
  <c r="Q23" i="24"/>
  <c r="Y8" i="24" l="1"/>
  <c r="Y7" i="24"/>
  <c r="Y18" i="24"/>
  <c r="Y20" i="24"/>
  <c r="Y22" i="24"/>
  <c r="Y27" i="24" s="1"/>
  <c r="Y16" i="24"/>
  <c r="Y21" i="24"/>
  <c r="Y6" i="24"/>
  <c r="Y26" i="24" s="1"/>
  <c r="Y13" i="29" s="1"/>
  <c r="Y15" i="24"/>
  <c r="Y14" i="24"/>
  <c r="Y13" i="24"/>
  <c r="Y10" i="24"/>
  <c r="Y17" i="24"/>
  <c r="Y5" i="24"/>
  <c r="Y19" i="24"/>
  <c r="Y12" i="24"/>
  <c r="Y9" i="24"/>
  <c r="Y11" i="24"/>
  <c r="Y25" i="24" l="1"/>
  <c r="Y10" i="29" s="1"/>
  <c r="Y23" i="29" s="1"/>
  <c r="Y23" i="24"/>
</calcChain>
</file>

<file path=xl/sharedStrings.xml><?xml version="1.0" encoding="utf-8"?>
<sst xmlns="http://schemas.openxmlformats.org/spreadsheetml/2006/main" count="570" uniqueCount="404">
  <si>
    <t>E I N N A H M E N</t>
  </si>
  <si>
    <t>Mieten und Pachten</t>
  </si>
  <si>
    <t>Sonstige Zuweisungen vom Bund</t>
  </si>
  <si>
    <t>Sonstige Zuweisungen von Ländern</t>
  </si>
  <si>
    <t>Gesamteinnahmen</t>
  </si>
  <si>
    <t>A U S G A B E N</t>
  </si>
  <si>
    <t>Entgelte der Arbeitnehmerinnen und Arbeitnehmer</t>
  </si>
  <si>
    <t>Trennungsgeld, Umzugskostenvergütungen</t>
  </si>
  <si>
    <t>Aus- und Fortbildung</t>
  </si>
  <si>
    <t>Sachverständige, Gerichts- und ähnliche Kosten</t>
  </si>
  <si>
    <t>Reisekosten</t>
  </si>
  <si>
    <t>Verfügungsmittel</t>
  </si>
  <si>
    <t>Gesamtausgaben</t>
  </si>
  <si>
    <t>Übertragungseinnahmen</t>
  </si>
  <si>
    <t>Vermögenswirksame und besondere Finanzierungseinnahmen</t>
  </si>
  <si>
    <t>Personalausgaben</t>
  </si>
  <si>
    <t>Sächliche Verwaltungsausgaben</t>
  </si>
  <si>
    <t>Abschluss</t>
  </si>
  <si>
    <t>Fehlbetrag (-) / Überschuss (+)</t>
  </si>
  <si>
    <t>Umsetzung Leitlinie für Informationssicherheit</t>
  </si>
  <si>
    <t>Betrieb Informationssystem des IT-Planungsrats (Sharepoint-Server)</t>
  </si>
  <si>
    <t>Behördenfinder Deutschland (BFD)</t>
  </si>
  <si>
    <t>Das Datenportal für Deutschland (GovData)</t>
  </si>
  <si>
    <t>231 01</t>
  </si>
  <si>
    <t>232 01</t>
  </si>
  <si>
    <t>422 01</t>
  </si>
  <si>
    <t>428 01</t>
  </si>
  <si>
    <t>453 01</t>
  </si>
  <si>
    <t>511 01</t>
  </si>
  <si>
    <t>518 01</t>
  </si>
  <si>
    <t>525 01</t>
  </si>
  <si>
    <t>526 01</t>
  </si>
  <si>
    <t>527 01</t>
  </si>
  <si>
    <t>529 01</t>
  </si>
  <si>
    <t>538 01</t>
  </si>
  <si>
    <t>538 02</t>
  </si>
  <si>
    <t>Projekte</t>
  </si>
  <si>
    <t>538 04</t>
  </si>
  <si>
    <t>538 05</t>
  </si>
  <si>
    <t>Standards</t>
  </si>
  <si>
    <t>Produkte</t>
  </si>
  <si>
    <t>441 01</t>
  </si>
  <si>
    <t>Fachkongress IT-PLR</t>
  </si>
  <si>
    <t>Digitaler Staat</t>
  </si>
  <si>
    <t>Zukunftskongress</t>
  </si>
  <si>
    <t>Summe</t>
  </si>
  <si>
    <t>636 01</t>
  </si>
  <si>
    <t>443 01</t>
  </si>
  <si>
    <t>575 01</t>
  </si>
  <si>
    <t>Deutsches Verwaltungsdiensteverzeichnis (DVDV 2.0)</t>
  </si>
  <si>
    <t>111 01</t>
  </si>
  <si>
    <t>119 01</t>
  </si>
  <si>
    <t>Gebühren, Sonstige Entgelte</t>
  </si>
  <si>
    <t>Sonstige Verwaltungseinnahmen</t>
  </si>
  <si>
    <t>231 02</t>
  </si>
  <si>
    <t>232 02</t>
  </si>
  <si>
    <t>Fürsorgeleistungen und Unterstützungen</t>
  </si>
  <si>
    <t>Bund-Länder-Veranstaltungen mit Beteiligung IT-PLR</t>
  </si>
  <si>
    <t>Eigene Veranstaltungen IT-PLR (Fachministerkonferenz, OZG, usw.)</t>
  </si>
  <si>
    <t>XÖV-Standardisierung (ITZBund)</t>
  </si>
  <si>
    <t>232 03</t>
  </si>
  <si>
    <t>Sitzlandquote Hessen</t>
  </si>
  <si>
    <t>Titel</t>
  </si>
  <si>
    <t>Titelbeschreibung</t>
  </si>
  <si>
    <t>Zinszahlungen</t>
  </si>
  <si>
    <t>Einheitliche Behördennummer 115</t>
  </si>
  <si>
    <t>Bezüge und Nebenleistungen der Beamtinnen und Beamten</t>
  </si>
  <si>
    <t>361 01</t>
  </si>
  <si>
    <t>Sonstige Zuweisungen vom Bund, Übertragung Versorgungslast</t>
  </si>
  <si>
    <t>Geschäftsbedarf, Ausrüstungs- u. sonstige Gebrauchsgegenstände</t>
  </si>
  <si>
    <t>Sonst. Zuweisungen an Sozialversicherungsträger, BA, Unfallkasse</t>
  </si>
  <si>
    <t>Online-Sicherheitsprüfung (OSiP)</t>
  </si>
  <si>
    <t>Verwaltungskosten</t>
  </si>
  <si>
    <t>Leitung, Organisation und Kommunikation, KoSIT EV 001</t>
  </si>
  <si>
    <t>Einheitlicher Zeichensatz, KoSIT EV 007</t>
  </si>
  <si>
    <t>Produkte - Abrechnung über FITKO</t>
  </si>
  <si>
    <t>Standards des IT-Planungsrats</t>
  </si>
  <si>
    <t>Bund 25 %
Länder 75 % Königst.Schlüssel</t>
  </si>
  <si>
    <t>Bund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</si>
  <si>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</si>
  <si>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</si>
  <si>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</si>
  <si>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</si>
  <si>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</si>
  <si>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</si>
  <si>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</si>
  <si>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</si>
  <si>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</si>
  <si>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</si>
  <si>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</si>
  <si>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</si>
  <si>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</si>
  <si>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</si>
  <si>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</si>
  <si>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</si>
  <si>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Hessen (Sitzlandquote)</t>
  </si>
  <si>
    <t xml:space="preserve">Bund: </t>
  </si>
  <si>
    <t xml:space="preserve">Länder ohne 10%: </t>
  </si>
  <si>
    <t>Summe
Ausgaben</t>
  </si>
  <si>
    <t>Einnahmen</t>
  </si>
  <si>
    <t>Ausgaben</t>
  </si>
  <si>
    <t xml:space="preserve">10% Sitzlandquote Hessen: </t>
  </si>
  <si>
    <t>511 00</t>
  </si>
  <si>
    <t>Interoperable Servicekonten FINK</t>
  </si>
  <si>
    <t>427 01</t>
  </si>
  <si>
    <t>459 01</t>
  </si>
  <si>
    <t>Sonstige personalbezogene Ausgaben</t>
  </si>
  <si>
    <t>Beschäftigungsentgelte, Vergütungen, Honorare</t>
  </si>
  <si>
    <t>Beihilfen (ohne Versorgungsempfänger)</t>
  </si>
  <si>
    <t>OFD (Hausdienste)</t>
  </si>
  <si>
    <t>Mitgliedschaften</t>
  </si>
  <si>
    <t>Kommunikation und Öffentlichkeitsarbeit</t>
  </si>
  <si>
    <t>Telefon und Mobilfunkkosten</t>
  </si>
  <si>
    <t>Ausgaben für Verwaltungsdienstleistungen</t>
  </si>
  <si>
    <t>Allgemeine Verwaltungsausgaben</t>
  </si>
  <si>
    <t>Aufgaben und Veranstaltungen des IT-PLR</t>
  </si>
  <si>
    <t>Sonstiges</t>
  </si>
  <si>
    <t>Resteübertragung/Überschuss aus Vorjahr</t>
  </si>
  <si>
    <t>DCAT-AP.de (GovData)</t>
  </si>
  <si>
    <t>XDatenfelder (FIM)</t>
  </si>
  <si>
    <t>XProzess (FIM)</t>
  </si>
  <si>
    <t>XZuFi (FIM)</t>
  </si>
  <si>
    <t>XBau/XPlanung</t>
  </si>
  <si>
    <t>XÖV-Standardisierungsrahmen, KoSIT EV 002</t>
  </si>
  <si>
    <t>OSCI-Transport, KoSIT EV 003</t>
  </si>
  <si>
    <t>XDomea, KoSIT EV 006</t>
  </si>
  <si>
    <t>Beraterkosten</t>
  </si>
  <si>
    <t>FIT-Store</t>
  </si>
  <si>
    <t>FIT-Connect</t>
  </si>
  <si>
    <t>Portalverbund Online-Gateway PVOG</t>
  </si>
  <si>
    <t>modifizierter
Königst. Schlüssel Govdata</t>
  </si>
  <si>
    <t>FIT Store vermittelte Einnahmen</t>
  </si>
  <si>
    <t>Königsteiner Schlüssel
2019</t>
  </si>
  <si>
    <t>Digitale Hochschulplattform eGovCampus</t>
  </si>
  <si>
    <t>Unternehmenskonto</t>
  </si>
  <si>
    <t>XFall</t>
  </si>
  <si>
    <t>Standardisierungsmanagement</t>
  </si>
  <si>
    <t>Webauftritt FITKO / IT-Planungsrat</t>
  </si>
  <si>
    <t>Kosten RP Kassel</t>
  </si>
  <si>
    <t>HMdF (Personalbewirtschaftung)</t>
  </si>
  <si>
    <t>FIT-Store vermittelte Ausgaben</t>
  </si>
  <si>
    <t>632 02</t>
  </si>
  <si>
    <t>233 02</t>
  </si>
  <si>
    <t>Sonstige Zuweisungen Andere, Übertragung Versorgungslast</t>
  </si>
  <si>
    <t>Gebühreneinn.
Verwaltungs
-einnahmen
11101, 36101</t>
  </si>
  <si>
    <t>Marktplatz Govdigital</t>
  </si>
  <si>
    <t>Föderale Architektur</t>
  </si>
  <si>
    <t>538 06</t>
  </si>
  <si>
    <t>538 07</t>
  </si>
  <si>
    <t>Projekte aus dem Digitalisierungsbudget 2020-2022</t>
  </si>
  <si>
    <t>231 03</t>
  </si>
  <si>
    <t>Sonstige Zuweisungen vom Bund, zusätzliche Einnahmen</t>
  </si>
  <si>
    <t>232 04</t>
  </si>
  <si>
    <t>XStandard  Einkauf*</t>
  </si>
  <si>
    <t>XBezahldienste</t>
  </si>
  <si>
    <t>XDomea:Verwaltung</t>
  </si>
  <si>
    <t>XFörderleistungsbeschreibung</t>
  </si>
  <si>
    <t>Smart Country Convention (SCCON)</t>
  </si>
  <si>
    <t>Bund 35 %
Länder 65 % Königst.Schlüssel</t>
  </si>
  <si>
    <t>Verwaltungskosten Digitalisierungsprojekte</t>
  </si>
  <si>
    <t>Progr. Optim. Föder. Inform.manag. (FIM)</t>
  </si>
  <si>
    <t>Aufbau Föder. IT-Architekturmanagements</t>
  </si>
  <si>
    <t>Kommun.mgm Digital. Verwalt. (int/ext)</t>
  </si>
  <si>
    <t>Digitale Wirtschaftsservices, RI</t>
  </si>
  <si>
    <t>OZG Sportförderung</t>
  </si>
  <si>
    <t>EfA-Umsetzung Förderung ehrenamtlicher Tätigkeit</t>
  </si>
  <si>
    <t>Open Source Werkzeug für XÖV</t>
  </si>
  <si>
    <t>Anbindung des Handelsregisters an das WSP.NRW</t>
  </si>
  <si>
    <t>Digitalisierung der Beschaffung NRW</t>
  </si>
  <si>
    <t>Digitalisierung der Beschaffung RLP</t>
  </si>
  <si>
    <t>govdigital Marktplatz, Betrieb und Weiterentwickl.</t>
  </si>
  <si>
    <t>EfA Umsetzung der OZG-Leistung Sportförderung</t>
  </si>
  <si>
    <t>XRepository - Sicherheit und Qualitätssicherung</t>
  </si>
  <si>
    <t>Berufliche Bildung - Zusammenarbeitsstr. m.Kammern</t>
  </si>
  <si>
    <t>MODUL-F @Kommunen</t>
  </si>
  <si>
    <t>TF Gesundheit Teilhabe am Arbeitsleben</t>
  </si>
  <si>
    <t>Innovative Weiterbildungskonzepte, Kompetenz-Turbo</t>
  </si>
  <si>
    <t>Weiterf. Container und Cloud Strategie, Governikus</t>
  </si>
  <si>
    <t>Umsetz. Sorgeregister, RI Landessorgeregister FHB</t>
  </si>
  <si>
    <t>Stärkung der XTA/OSCI-Infrastrukturen</t>
  </si>
  <si>
    <t>RegCheck - Rolloutverprobung Bsp IDNr Meldereg.</t>
  </si>
  <si>
    <t>Qualitätsprojekt Q vormals Qualitätsoffensive</t>
  </si>
  <si>
    <t>Optimierung Standardisierungsagenda</t>
  </si>
  <si>
    <t>RegMod UP Mehraufwände HH</t>
  </si>
  <si>
    <t>RegMod UP Mehraufwände NRW</t>
  </si>
  <si>
    <t>RegMod UP Mehraufwand BW</t>
  </si>
  <si>
    <t>RegMod UP Erprobung Vorgehensmodell BZR GZR</t>
  </si>
  <si>
    <t>Nachnutzung MVP EfA Parametrisierung</t>
  </si>
  <si>
    <t>Zukunftstechnologie für 115 und OZG 2.0</t>
  </si>
  <si>
    <t>Mehrbedarf Personalbedarf (RegMod)</t>
  </si>
  <si>
    <t>Digitalisierung Bohrlochgeophysik</t>
  </si>
  <si>
    <t>Digital. Verfahren Bundes-Immissionsschutzgesetz</t>
  </si>
  <si>
    <t>XBezahldienst</t>
  </si>
  <si>
    <t>Sonstige Zuweisungen von Ländern, zusätzliche Einnahmen</t>
  </si>
  <si>
    <t>Kosten HZD IT-Arbeitsplatz, Software, HessenVoice, etc.</t>
  </si>
  <si>
    <t>Föderales Informationsmanagement (FIM)</t>
  </si>
  <si>
    <t>Sonstige Zuweisungen Andere, zusätzliche Einnahmen</t>
  </si>
  <si>
    <t>Berechnungsgrundlagen</t>
  </si>
  <si>
    <t>Beteiligte</t>
  </si>
  <si>
    <t>Registermodernisierung OZG-Umsetzung</t>
  </si>
  <si>
    <t>538 08</t>
  </si>
  <si>
    <t>Kosten Hess. Competence Center f. neue Verwaltungssteuer. (HCC)</t>
  </si>
  <si>
    <t>sonstige Dienstleistungen und Gestattungen</t>
  </si>
  <si>
    <t>233 03</t>
  </si>
  <si>
    <t>GovData
(sep.Schlüssel)</t>
  </si>
  <si>
    <t>modifizierter
Königst.Schlüssel
 115</t>
  </si>
  <si>
    <t>115
(sep.Schlüssel)</t>
  </si>
  <si>
    <t>FITKO - Stammbudget           IT-Planungsrat</t>
  </si>
  <si>
    <t>Deutsche Verwaltungscloud, Koordinierungsstelle</t>
  </si>
  <si>
    <t>sonst. DL und
Gestattung
( 25% / 75% )</t>
  </si>
  <si>
    <t>Verwaltungs-kosten 
(10 / 22,5 / 67,5%)</t>
  </si>
  <si>
    <t>Standards
( 25% / 75% )</t>
  </si>
  <si>
    <t>Umsetzungsprojekte Deutsche Verwaltungscloud</t>
  </si>
  <si>
    <r>
      <t>Projekte
(</t>
    </r>
    <r>
      <rPr>
        <b/>
        <sz val="12"/>
        <rFont val="Arial"/>
        <family val="2"/>
      </rPr>
      <t>25% / 75%)</t>
    </r>
  </si>
  <si>
    <t>Produkte ohne GovData + 115
( 25% / 75% )</t>
  </si>
  <si>
    <t>Schwerpunkte
ohne EfA-Nachnutzung
( 25% / 75% )</t>
  </si>
  <si>
    <t>Sonstige Zuweisungen von Ländern, Übertrag. Versorgungslast</t>
  </si>
  <si>
    <t>161 01</t>
  </si>
  <si>
    <t>Zinseinnahmen</t>
  </si>
  <si>
    <t>Sonstige DL Digibudget</t>
  </si>
  <si>
    <t>Durchführung von Digitalisierungslaboren</t>
  </si>
  <si>
    <t>Interoper. Servicekont Bürg. und Bürger</t>
  </si>
  <si>
    <t>(Weiter-) Entw. Standards Schnittstellen</t>
  </si>
  <si>
    <t>Forsch Entw Umset Quali Digit Öffen Sekt</t>
  </si>
  <si>
    <t>Digit. Hochschulpl. E-Gov. Verw.informat (bis 30.6.2023)</t>
  </si>
  <si>
    <t>Digitalisierung Beschaffung - Weiterentw. XVergabe</t>
  </si>
  <si>
    <t>Ehrenamtskarten-App, RI</t>
  </si>
  <si>
    <t>Unterhaltsvorschuss Online, RI  (bis 31.12.2022)</t>
  </si>
  <si>
    <t>Bergbau (Check-Out)</t>
  </si>
  <si>
    <t>Fit-Connect  (bis 31.12.2022)</t>
  </si>
  <si>
    <t>OSiP - Entwicklung</t>
  </si>
  <si>
    <t>Kleinteilige Beschaffung (NRW)  (bis 31.12.2022)</t>
  </si>
  <si>
    <t>EfA-Nachnutzung über govdigital (Check-Out)</t>
  </si>
  <si>
    <t>GovData Umsetzung  (bis 31.12.2023)</t>
  </si>
  <si>
    <t>Module IT-Infrastruktur  (bis 31.12.2022)</t>
  </si>
  <si>
    <t>Ausbau Multikanal  (bis 31.12.2023)</t>
  </si>
  <si>
    <t>XDomea Werkzeug</t>
  </si>
  <si>
    <t>115 als zentrale Supportkomponente</t>
  </si>
  <si>
    <t>Dt-NL Once-Only-Pilot Unternehmensanmeldung (SDG/eIDAS)  (bis 31.12.2022)</t>
  </si>
  <si>
    <t>xdomea Werkzeug z. Profilierung und Visualisierung, XÖV-Suite</t>
  </si>
  <si>
    <t>Open Source Werkzeug für XÖV (Check-Out)</t>
  </si>
  <si>
    <t>Weiterentwicklung ID Crucis (Check-Out)</t>
  </si>
  <si>
    <t>Erweiterter Gehaltsdatenabruf (Check-Out)</t>
  </si>
  <si>
    <t>"Daueraufgaben" Schwerpunkte des IT-Planungsrats</t>
  </si>
  <si>
    <t>542 00</t>
  </si>
  <si>
    <t>Steuern und Abgaben (Umsatzsteuer)</t>
  </si>
  <si>
    <t>Steuern und Abgaben (Kapitalertragsteuer)</t>
  </si>
  <si>
    <t>125 01</t>
  </si>
  <si>
    <t>FIM Programmsteuerung</t>
  </si>
  <si>
    <t>FIM Schulung</t>
  </si>
  <si>
    <t>FIM-Bausteinharmonisierung</t>
  </si>
  <si>
    <t>Gesamtsteuerung Registermodernisierung, Personal- und Sachkosten BY</t>
  </si>
  <si>
    <t>Gesamtsteuerung Registermodernisierung, Personal- und Sachkosten BW</t>
  </si>
  <si>
    <t>Gesamtsteuerung Registermodernisierung, Personal- und Sachkosten HH</t>
  </si>
  <si>
    <t>Gesamtsteuerung Registermodernisierung, Personal- und Sachkosten NRW</t>
  </si>
  <si>
    <t>100 001</t>
  </si>
  <si>
    <t>100 000</t>
  </si>
  <si>
    <t>100 008</t>
  </si>
  <si>
    <t>100 004</t>
  </si>
  <si>
    <t>100 005</t>
  </si>
  <si>
    <t>100 010</t>
  </si>
  <si>
    <t>100 006</t>
  </si>
  <si>
    <t>100 007</t>
  </si>
  <si>
    <t>100 002</t>
  </si>
  <si>
    <t>100 011</t>
  </si>
  <si>
    <t>100 009</t>
  </si>
  <si>
    <t>100 012</t>
  </si>
  <si>
    <t>100 013</t>
  </si>
  <si>
    <t>100 003</t>
  </si>
  <si>
    <t>100 100</t>
  </si>
  <si>
    <t>100 104</t>
  </si>
  <si>
    <t>100 101</t>
  </si>
  <si>
    <t>100 200</t>
  </si>
  <si>
    <t>100 106</t>
  </si>
  <si>
    <t>100 201</t>
  </si>
  <si>
    <t>100 212</t>
  </si>
  <si>
    <t>100 209</t>
  </si>
  <si>
    <t>100 204</t>
  </si>
  <si>
    <t>100 210</t>
  </si>
  <si>
    <t>100 211</t>
  </si>
  <si>
    <t>100 221</t>
  </si>
  <si>
    <t>100 222</t>
  </si>
  <si>
    <t>100 223</t>
  </si>
  <si>
    <t>100 224</t>
  </si>
  <si>
    <t>100 225</t>
  </si>
  <si>
    <t>100 301</t>
  </si>
  <si>
    <t>100 302</t>
  </si>
  <si>
    <t>100 303</t>
  </si>
  <si>
    <t>100 304</t>
  </si>
  <si>
    <t>100 307</t>
  </si>
  <si>
    <t>100 308</t>
  </si>
  <si>
    <t>100 309</t>
  </si>
  <si>
    <t>100 310</t>
  </si>
  <si>
    <t>100 321</t>
  </si>
  <si>
    <t>100 401</t>
  </si>
  <si>
    <t>100 402</t>
  </si>
  <si>
    <t>101 000</t>
  </si>
  <si>
    <t>101 001</t>
  </si>
  <si>
    <t>101 003</t>
  </si>
  <si>
    <t>101 008</t>
  </si>
  <si>
    <t>101 011</t>
  </si>
  <si>
    <t>101 015</t>
  </si>
  <si>
    <t>101 002</t>
  </si>
  <si>
    <t>101 006</t>
  </si>
  <si>
    <t>101 007</t>
  </si>
  <si>
    <t>101 012</t>
  </si>
  <si>
    <t>101 013</t>
  </si>
  <si>
    <t>101 014</t>
  </si>
  <si>
    <t>101 009</t>
  </si>
  <si>
    <t>101 016</t>
  </si>
  <si>
    <t>104 001</t>
  </si>
  <si>
    <t>101 017</t>
  </si>
  <si>
    <t>101 018</t>
  </si>
  <si>
    <t>107 000</t>
  </si>
  <si>
    <t>107 001</t>
  </si>
  <si>
    <t>107 002</t>
  </si>
  <si>
    <t>107 003</t>
  </si>
  <si>
    <t>107 008</t>
  </si>
  <si>
    <t>107 009</t>
  </si>
  <si>
    <t>107 010</t>
  </si>
  <si>
    <t>107 006</t>
  </si>
  <si>
    <t>107 011</t>
  </si>
  <si>
    <t>107 012</t>
  </si>
  <si>
    <t>107 007</t>
  </si>
  <si>
    <t>107 013</t>
  </si>
  <si>
    <t>107 014</t>
  </si>
  <si>
    <t>109 001</t>
  </si>
  <si>
    <t>109 002</t>
  </si>
  <si>
    <t>109 003</t>
  </si>
  <si>
    <t>Register BW UP 17_2024</t>
  </si>
  <si>
    <t>Register BW UP 22_2024</t>
  </si>
  <si>
    <t>Register HH UP 07_2024</t>
  </si>
  <si>
    <t>Register HH UP 13_2024</t>
  </si>
  <si>
    <t>Register NRW UP 01_2024</t>
  </si>
  <si>
    <t>Register NRW UP 08_2024</t>
  </si>
  <si>
    <t>Register NRW UP 14_2024</t>
  </si>
  <si>
    <t>Register NRW UP 15_2024</t>
  </si>
  <si>
    <t>Register NRW UP 21_2024</t>
  </si>
  <si>
    <t>Register NRW UP 19_2024</t>
  </si>
  <si>
    <t>Register NRW UP 18_2024</t>
  </si>
  <si>
    <t>Register BY UP 23_2024</t>
  </si>
  <si>
    <t>Register BY UP 24_2024</t>
  </si>
  <si>
    <t>Register BY UP 25_2024</t>
  </si>
  <si>
    <t>Umsetzungsprojekte Registermodernisierung</t>
  </si>
  <si>
    <t>Gesamtsteuerung Registermodernisierung, Personal- und Sachkosten Leitung</t>
  </si>
  <si>
    <r>
      <t xml:space="preserve">Umsetzungsprojekte Deutsche Verwaltungscloud </t>
    </r>
    <r>
      <rPr>
        <b/>
        <sz val="12"/>
        <rFont val="Calibri"/>
        <family val="2"/>
        <scheme val="minor"/>
      </rPr>
      <t>Rest 2023</t>
    </r>
  </si>
  <si>
    <r>
      <t xml:space="preserve">Umsetzungsprojekte Registermodernisierung, ohne Risikoaufschlag  </t>
    </r>
    <r>
      <rPr>
        <b/>
        <sz val="12"/>
        <rFont val="Calibri"/>
        <family val="2"/>
        <scheme val="minor"/>
      </rPr>
      <t>Rest 2023</t>
    </r>
  </si>
  <si>
    <t>Umsetzungsprojekte Registermodernisierung, Risikoaufschlag</t>
  </si>
  <si>
    <t>Digitalsierungsprojekte Schwerpunktthemen</t>
  </si>
  <si>
    <t>Nachnutzung EfA-Leistungen Fokusleistungen</t>
  </si>
  <si>
    <t>Nachnutzung EfA-Leistungen Förderales-Interesse</t>
  </si>
  <si>
    <t>100 014</t>
  </si>
  <si>
    <t>100 015</t>
  </si>
  <si>
    <t>Sonstige Zuweisungen von Ländern, zusätzliche Einnahmen -Fokusleistungen-</t>
  </si>
  <si>
    <t>Sonstige Zuweisungen von Ländern, zusätzliche Einnahmen -Förderales-Interesse-</t>
  </si>
  <si>
    <t>109 005</t>
  </si>
  <si>
    <r>
      <t xml:space="preserve">Organisation Schwerpunktthemen </t>
    </r>
    <r>
      <rPr>
        <b/>
        <sz val="12"/>
        <rFont val="Calibri"/>
        <family val="2"/>
        <scheme val="minor"/>
      </rPr>
      <t>Restmittel 2023</t>
    </r>
  </si>
  <si>
    <t>Anrechnung
ungebunde 
Reste 2021
Standards</t>
  </si>
  <si>
    <t>HHP</t>
  </si>
  <si>
    <t>Organisation Schwerpunktthemen</t>
  </si>
  <si>
    <t>Register BW UP 03_2024 (Erprobung Austausch Personalausweisregister)</t>
  </si>
  <si>
    <t>Digitalisierung der Beschaffung HB (MZ?)</t>
  </si>
  <si>
    <t>KollOM-FIT Kollob.Ontologieman. f. d. föderale IT (MZ?)</t>
  </si>
  <si>
    <t>Registermodernisierung</t>
  </si>
  <si>
    <t>XÖV-Suite Erweiterung</t>
  </si>
  <si>
    <t>XÖV lite</t>
  </si>
  <si>
    <t>ELFEConnect</t>
  </si>
  <si>
    <t>Evaluation AG RaBe</t>
  </si>
  <si>
    <t>Matching Rechtsbegriffe und Daten</t>
  </si>
  <si>
    <t>XRepository Sicherheit und Qualitätssicherung</t>
  </si>
  <si>
    <t>Konsolidierte Rechnungseingangsplattform</t>
  </si>
  <si>
    <t>Umsetzungsprojekt Pilot f.d. Datenabruf "Erweiterte Gehaltsdaten"…</t>
  </si>
  <si>
    <r>
      <t xml:space="preserve">Weiterentw. gem. Kompon. / </t>
    </r>
    <r>
      <rPr>
        <b/>
        <sz val="12"/>
        <rFont val="Calibri"/>
        <family val="2"/>
        <scheme val="minor"/>
      </rPr>
      <t>NEGATIVE PLANUNGSRESERVE</t>
    </r>
  </si>
  <si>
    <t>Hiervon
Plan 2024</t>
  </si>
  <si>
    <t>Zahlungen 2024</t>
  </si>
  <si>
    <t>Hiervon aus
Budget 2024</t>
  </si>
  <si>
    <t>Gebundene
Mittel nach
 2025</t>
  </si>
  <si>
    <t>107 100</t>
  </si>
  <si>
    <t>Produktübergreifende Kosten</t>
  </si>
  <si>
    <t>Register NRW UP 00_2022 (Handelsregister, Erweiterung)</t>
  </si>
  <si>
    <t>Ungebundene Restmittel</t>
  </si>
  <si>
    <t>Hiervon aus 2022</t>
  </si>
  <si>
    <t>Hiervon aus 2023</t>
  </si>
  <si>
    <t>Unterjährige
Budgeterhöhung</t>
  </si>
  <si>
    <t>Efa Fokusleitungen Roll in</t>
  </si>
  <si>
    <t>Efa Fokusleitungen</t>
  </si>
  <si>
    <t>Hiervon 
aus 2024</t>
  </si>
  <si>
    <t>Ergebnis
2024</t>
  </si>
  <si>
    <t>Anrechnung Zahlungsüber-schuss
2023</t>
  </si>
  <si>
    <t>FIT-Store
/ Ust</t>
  </si>
  <si>
    <t>Zahlungs-IST
Bund / Länder
inkl. Sitzlandqoute
23101, 23201, 23203</t>
  </si>
  <si>
    <t>Überzahlung
Bund / Länder
inkl. Sitzlandqoute</t>
  </si>
  <si>
    <t>EfA-
Nachnutzung
(25% / 75%)</t>
  </si>
  <si>
    <t>Zahlungs-SOLL
Bund / Länder
inkl. Sitzlandqoute
23101, 23201, 23203</t>
  </si>
  <si>
    <t>Ergebnis 2024
inkl. gebund. Mittel</t>
  </si>
  <si>
    <t>Budget 2024
inkl. geb. Mittel</t>
  </si>
  <si>
    <t>Hiervon gebund. Mittel 2022</t>
  </si>
  <si>
    <t>Hiervon gebund. Mittel 2023</t>
  </si>
  <si>
    <t>Hiervon aus 
geb. Mittel 2022</t>
  </si>
  <si>
    <t>Hiervon aus 
geb. Mittel 2023</t>
  </si>
  <si>
    <t>Hiervon aus
 2024</t>
  </si>
  <si>
    <t>Anrechnung
ungebundene
Reste 2022/2023</t>
  </si>
  <si>
    <t>Überzahlung
inkl. ungeb.
Reste 2024</t>
  </si>
  <si>
    <t>Rückzahlung
ungeb. Reste
2022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</si>
</sst>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_ ;\-#,##0\ "/>
    <numFmt numFmtId="166" formatCode="#,##0\ &quot;€&quot;"/>
    <numFmt numFmtId="167" formatCode="0.0000000%"/>
    <numFmt numFmtId="168" formatCode="0.00000%"/>
    <numFmt numFmtId="169" formatCode="###\ ###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B050"/>
      <name val="Arial"/>
      <family val="2"/>
    </font>
    <font>
      <sz val="12"/>
      <name val="Arial"/>
      <family val="2"/>
    </font>
    <font>
      <b/>
      <sz val="12"/>
      <color rgb="FF00B050"/>
      <name val="Arial"/>
      <family val="2"/>
    </font>
    <font>
      <b/>
      <sz val="12"/>
      <name val="Arial"/>
      <family val="2"/>
    </font>
    <font>
      <b/>
      <sz val="12"/>
      <color theme="0" tint="-0.499984740745262"/>
      <name val="Arial"/>
      <family val="2"/>
    </font>
    <font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b/>
      <u/>
      <sz val="12"/>
      <name val="Arial"/>
      <family val="2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5862B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3">
    <xf numFmtId="0" fontId="0" fillId="0" borderId="0"/>
    <xf numFmtId="0" fontId="9" fillId="0" borderId="0"/>
    <xf numFmtId="0" fontId="10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7" fillId="0" borderId="0" xfId="6"/>
    <xf numFmtId="0" fontId="20" fillId="0" borderId="0" xfId="6" applyFont="1"/>
    <xf numFmtId="0" fontId="19" fillId="4" borderId="4" xfId="6" applyFont="1" applyFill="1" applyBorder="1"/>
    <xf numFmtId="0" fontId="22" fillId="0" borderId="2" xfId="6" applyFont="1" applyBorder="1"/>
    <xf numFmtId="0" fontId="19" fillId="0" borderId="0" xfId="6" applyFont="1"/>
    <xf numFmtId="0" fontId="19" fillId="0" borderId="4" xfId="6" applyFont="1" applyBorder="1" applyAlignment="1">
      <alignment horizontal="center" vertical="center" wrapText="1"/>
    </xf>
    <xf numFmtId="0" fontId="19" fillId="4" borderId="4" xfId="6" applyFont="1" applyFill="1" applyBorder="1" applyAlignment="1">
      <alignment horizontal="center" vertical="center" wrapText="1"/>
    </xf>
    <xf numFmtId="0" fontId="19" fillId="3" borderId="4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center" vertical="center" wrapText="1"/>
    </xf>
    <xf numFmtId="0" fontId="7" fillId="4" borderId="6" xfId="6" applyFill="1" applyBorder="1" applyAlignment="1">
      <alignment horizontal="right" vertical="center" wrapText="1"/>
    </xf>
    <xf numFmtId="0" fontId="7" fillId="0" borderId="0" xfId="6" applyAlignment="1">
      <alignment horizontal="right" vertical="center" wrapText="1"/>
    </xf>
    <xf numFmtId="166" fontId="7" fillId="0" borderId="0" xfId="6" applyNumberFormat="1"/>
    <xf numFmtId="0" fontId="24" fillId="0" borderId="0" xfId="6" applyFont="1" applyAlignment="1">
      <alignment vertical="center"/>
    </xf>
    <xf numFmtId="166" fontId="24" fillId="0" borderId="0" xfId="6" applyNumberFormat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166" fontId="19" fillId="0" borderId="0" xfId="6" applyNumberFormat="1" applyFont="1"/>
    <xf numFmtId="0" fontId="18" fillId="0" borderId="0" xfId="6" applyFont="1"/>
    <xf numFmtId="10" fontId="20" fillId="0" borderId="0" xfId="6" applyNumberFormat="1" applyFont="1"/>
    <xf numFmtId="0" fontId="19" fillId="0" borderId="5" xfId="6" applyFont="1" applyBorder="1" applyAlignment="1">
      <alignment wrapText="1"/>
    </xf>
    <xf numFmtId="0" fontId="23" fillId="3" borderId="2" xfId="6" applyFont="1" applyFill="1" applyBorder="1"/>
    <xf numFmtId="0" fontId="7" fillId="0" borderId="3" xfId="6" applyBorder="1"/>
    <xf numFmtId="3" fontId="7" fillId="0" borderId="0" xfId="6" applyNumberFormat="1"/>
    <xf numFmtId="0" fontId="7" fillId="0" borderId="0" xfId="6" applyAlignment="1">
      <alignment horizontal="right"/>
    </xf>
    <xf numFmtId="167" fontId="7" fillId="4" borderId="1" xfId="6" applyNumberFormat="1" applyFill="1" applyBorder="1" applyAlignment="1">
      <alignment horizontal="right" vertical="center"/>
    </xf>
    <xf numFmtId="166" fontId="7" fillId="0" borderId="1" xfId="6" applyNumberFormat="1" applyBorder="1" applyAlignment="1">
      <alignment horizontal="right" vertical="center"/>
    </xf>
    <xf numFmtId="166" fontId="7" fillId="3" borderId="1" xfId="6" applyNumberFormat="1" applyFill="1" applyBorder="1" applyAlignment="1">
      <alignment horizontal="right" vertical="center"/>
    </xf>
    <xf numFmtId="167" fontId="7" fillId="4" borderId="4" xfId="6" applyNumberFormat="1" applyFill="1" applyBorder="1" applyAlignment="1">
      <alignment horizontal="right" vertical="center"/>
    </xf>
    <xf numFmtId="166" fontId="19" fillId="0" borderId="4" xfId="6" applyNumberFormat="1" applyFont="1" applyBorder="1" applyAlignment="1">
      <alignment horizontal="right" vertical="center"/>
    </xf>
    <xf numFmtId="166" fontId="19" fillId="3" borderId="4" xfId="6" applyNumberFormat="1" applyFont="1" applyFill="1" applyBorder="1" applyAlignment="1">
      <alignment horizontal="right" vertical="center"/>
    </xf>
    <xf numFmtId="166" fontId="19" fillId="0" borderId="6" xfId="6" applyNumberFormat="1" applyFont="1" applyBorder="1" applyAlignment="1">
      <alignment horizontal="right" vertical="center" wrapText="1"/>
    </xf>
    <xf numFmtId="166" fontId="23" fillId="3" borderId="6" xfId="6" applyNumberFormat="1" applyFont="1" applyFill="1" applyBorder="1" applyAlignment="1">
      <alignment horizontal="right" vertical="center" wrapText="1"/>
    </xf>
    <xf numFmtId="0" fontId="19" fillId="0" borderId="4" xfId="6" applyFont="1" applyBorder="1" applyAlignment="1">
      <alignment horizontal="center" wrapText="1"/>
    </xf>
    <xf numFmtId="166" fontId="21" fillId="0" borderId="1" xfId="6" applyNumberFormat="1" applyFont="1" applyBorder="1" applyAlignment="1">
      <alignment horizontal="right" vertical="center"/>
    </xf>
    <xf numFmtId="0" fontId="23" fillId="0" borderId="2" xfId="6" applyFont="1" applyBorder="1" applyAlignment="1">
      <alignment horizontal="center" vertical="center" wrapText="1"/>
    </xf>
    <xf numFmtId="166" fontId="23" fillId="0" borderId="7" xfId="6" applyNumberFormat="1" applyFont="1" applyBorder="1" applyAlignment="1">
      <alignment horizontal="right" vertical="center" wrapText="1"/>
    </xf>
    <xf numFmtId="166" fontId="23" fillId="0" borderId="2" xfId="6" applyNumberFormat="1" applyFont="1" applyBorder="1" applyAlignment="1">
      <alignment horizontal="right" vertical="center"/>
    </xf>
    <xf numFmtId="167" fontId="7" fillId="0" borderId="4" xfId="6" applyNumberFormat="1" applyBorder="1" applyAlignment="1">
      <alignment horizontal="right" vertical="center"/>
    </xf>
    <xf numFmtId="0" fontId="23" fillId="3" borderId="2" xfId="6" applyFont="1" applyFill="1" applyBorder="1" applyAlignment="1">
      <alignment horizontal="center" vertical="center" wrapText="1"/>
    </xf>
    <xf numFmtId="166" fontId="21" fillId="0" borderId="8" xfId="6" applyNumberFormat="1" applyFont="1" applyBorder="1" applyAlignment="1">
      <alignment horizontal="right" vertical="center"/>
    </xf>
    <xf numFmtId="166" fontId="21" fillId="3" borderId="8" xfId="6" applyNumberFormat="1" applyFont="1" applyFill="1" applyBorder="1" applyAlignment="1">
      <alignment horizontal="right" vertical="center"/>
    </xf>
    <xf numFmtId="166" fontId="23" fillId="3" borderId="2" xfId="6" applyNumberFormat="1" applyFont="1" applyFill="1" applyBorder="1" applyAlignment="1">
      <alignment horizontal="right" vertical="center"/>
    </xf>
    <xf numFmtId="0" fontId="24" fillId="0" borderId="0" xfId="6" applyFont="1" applyAlignment="1">
      <alignment horizontal="right" vertical="center"/>
    </xf>
    <xf numFmtId="0" fontId="19" fillId="0" borderId="9" xfId="6" applyFont="1" applyBorder="1" applyAlignment="1">
      <alignment horizontal="center" vertical="center"/>
    </xf>
    <xf numFmtId="0" fontId="19" fillId="0" borderId="10" xfId="6" applyFont="1" applyBorder="1"/>
    <xf numFmtId="0" fontId="19" fillId="0" borderId="10" xfId="6" applyFont="1" applyBorder="1" applyAlignment="1">
      <alignment horizontal="center" vertical="center" wrapText="1"/>
    </xf>
    <xf numFmtId="0" fontId="7" fillId="0" borderId="11" xfId="6" applyBorder="1" applyAlignment="1">
      <alignment horizontal="right" vertical="center" wrapText="1"/>
    </xf>
    <xf numFmtId="0" fontId="19" fillId="0" borderId="12" xfId="6" applyFont="1" applyBorder="1" applyAlignment="1">
      <alignment horizontal="right" vertical="center"/>
    </xf>
    <xf numFmtId="0" fontId="19" fillId="0" borderId="10" xfId="6" applyFont="1" applyBorder="1" applyAlignment="1">
      <alignment horizontal="right" vertical="center"/>
    </xf>
    <xf numFmtId="0" fontId="23" fillId="0" borderId="10" xfId="6" applyFont="1" applyBorder="1" applyAlignment="1">
      <alignment horizontal="right" vertical="center"/>
    </xf>
    <xf numFmtId="0" fontId="23" fillId="0" borderId="13" xfId="6" applyFont="1" applyBorder="1" applyAlignment="1">
      <alignment horizontal="right" vertical="center"/>
    </xf>
    <xf numFmtId="0" fontId="19" fillId="0" borderId="16" xfId="6" applyFont="1" applyBorder="1"/>
    <xf numFmtId="0" fontId="19" fillId="0" borderId="16" xfId="6" applyFont="1" applyBorder="1" applyAlignment="1">
      <alignment horizontal="center" vertical="center" wrapText="1"/>
    </xf>
    <xf numFmtId="0" fontId="7" fillId="0" borderId="18" xfId="6" applyBorder="1" applyAlignment="1">
      <alignment horizontal="right" vertical="center" wrapText="1"/>
    </xf>
    <xf numFmtId="167" fontId="7" fillId="0" borderId="20" xfId="6" applyNumberFormat="1" applyBorder="1" applyAlignment="1">
      <alignment horizontal="right" vertical="center"/>
    </xf>
    <xf numFmtId="168" fontId="7" fillId="0" borderId="16" xfId="6" applyNumberFormat="1" applyBorder="1" applyAlignment="1">
      <alignment horizontal="right" vertical="center"/>
    </xf>
    <xf numFmtId="167" fontId="7" fillId="0" borderId="16" xfId="6" applyNumberFormat="1" applyBorder="1" applyAlignment="1">
      <alignment horizontal="right" vertical="center"/>
    </xf>
    <xf numFmtId="9" fontId="19" fillId="4" borderId="22" xfId="6" applyNumberFormat="1" applyFont="1" applyFill="1" applyBorder="1" applyAlignment="1">
      <alignment horizontal="right" vertical="center"/>
    </xf>
    <xf numFmtId="10" fontId="19" fillId="4" borderId="23" xfId="6" applyNumberFormat="1" applyFont="1" applyFill="1" applyBorder="1" applyAlignment="1">
      <alignment horizontal="right" vertical="center"/>
    </xf>
    <xf numFmtId="0" fontId="22" fillId="0" borderId="16" xfId="6" applyFont="1" applyBorder="1"/>
    <xf numFmtId="0" fontId="19" fillId="0" borderId="25" xfId="6" applyFont="1" applyBorder="1"/>
    <xf numFmtId="0" fontId="23" fillId="0" borderId="16" xfId="6" applyFont="1" applyBorder="1" applyAlignment="1">
      <alignment horizontal="center" vertical="center" wrapText="1"/>
    </xf>
    <xf numFmtId="166" fontId="23" fillId="0" borderId="18" xfId="6" applyNumberFormat="1" applyFont="1" applyBorder="1" applyAlignment="1">
      <alignment horizontal="right" vertical="center" wrapText="1"/>
    </xf>
    <xf numFmtId="166" fontId="21" fillId="0" borderId="20" xfId="6" applyNumberFormat="1" applyFont="1" applyBorder="1" applyAlignment="1">
      <alignment horizontal="right" vertical="center"/>
    </xf>
    <xf numFmtId="166" fontId="21" fillId="0" borderId="27" xfId="6" applyNumberFormat="1" applyFont="1" applyBorder="1" applyAlignment="1">
      <alignment horizontal="right" vertical="center"/>
    </xf>
    <xf numFmtId="166" fontId="23" fillId="0" borderId="16" xfId="6" applyNumberFormat="1" applyFont="1" applyBorder="1" applyAlignment="1">
      <alignment horizontal="right" vertical="center"/>
    </xf>
    <xf numFmtId="166" fontId="23" fillId="0" borderId="23" xfId="6" applyNumberFormat="1" applyFont="1" applyBorder="1" applyAlignment="1">
      <alignment horizontal="center" vertical="center"/>
    </xf>
    <xf numFmtId="0" fontId="19" fillId="0" borderId="17" xfId="6" applyFont="1" applyBorder="1"/>
    <xf numFmtId="0" fontId="19" fillId="0" borderId="17" xfId="6" applyFont="1" applyBorder="1" applyAlignment="1">
      <alignment horizontal="center" vertical="center" wrapText="1"/>
    </xf>
    <xf numFmtId="166" fontId="19" fillId="0" borderId="19" xfId="6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center" wrapText="1"/>
    </xf>
    <xf numFmtId="3" fontId="14" fillId="2" borderId="4" xfId="1" applyNumberFormat="1" applyFont="1" applyFill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4" fontId="15" fillId="0" borderId="0" xfId="1" applyNumberFormat="1" applyFont="1" applyAlignment="1">
      <alignment vertical="center"/>
    </xf>
    <xf numFmtId="165" fontId="14" fillId="0" borderId="0" xfId="1" applyNumberFormat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49" fontId="12" fillId="0" borderId="31" xfId="1" applyNumberFormat="1" applyFont="1" applyBorder="1" applyAlignment="1">
      <alignment vertical="center"/>
    </xf>
    <xf numFmtId="49" fontId="11" fillId="0" borderId="33" xfId="1" applyNumberFormat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49" fontId="13" fillId="0" borderId="33" xfId="1" applyNumberFormat="1" applyFont="1" applyBorder="1" applyAlignment="1">
      <alignment vertical="center"/>
    </xf>
    <xf numFmtId="49" fontId="15" fillId="0" borderId="33" xfId="1" applyNumberFormat="1" applyFont="1" applyBorder="1" applyAlignment="1">
      <alignment vertical="center"/>
    </xf>
    <xf numFmtId="49" fontId="14" fillId="0" borderId="33" xfId="1" applyNumberFormat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14" fillId="0" borderId="33" xfId="1" applyFont="1" applyBorder="1" applyAlignment="1">
      <alignment horizontal="left" vertical="center"/>
    </xf>
    <xf numFmtId="49" fontId="14" fillId="0" borderId="33" xfId="1" applyNumberFormat="1" applyFont="1" applyBorder="1" applyAlignment="1">
      <alignment horizontal="left" vertical="center"/>
    </xf>
    <xf numFmtId="49" fontId="16" fillId="0" borderId="33" xfId="1" applyNumberFormat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3" fontId="14" fillId="0" borderId="33" xfId="1" applyNumberFormat="1" applyFont="1" applyBorder="1" applyAlignment="1">
      <alignment vertical="center"/>
    </xf>
    <xf numFmtId="0" fontId="16" fillId="2" borderId="33" xfId="1" applyFont="1" applyFill="1" applyBorder="1" applyAlignment="1">
      <alignment vertical="center"/>
    </xf>
    <xf numFmtId="0" fontId="14" fillId="2" borderId="33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left" vertical="center"/>
    </xf>
    <xf numFmtId="0" fontId="14" fillId="2" borderId="33" xfId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vertical="center"/>
    </xf>
    <xf numFmtId="0" fontId="14" fillId="2" borderId="34" xfId="0" applyFont="1" applyFill="1" applyBorder="1" applyAlignment="1">
      <alignment vertical="center"/>
    </xf>
    <xf numFmtId="49" fontId="13" fillId="0" borderId="35" xfId="1" applyNumberFormat="1" applyFont="1" applyBorder="1" applyAlignment="1">
      <alignment horizontal="center" vertical="center"/>
    </xf>
    <xf numFmtId="49" fontId="14" fillId="0" borderId="35" xfId="1" applyNumberFormat="1" applyFont="1" applyBorder="1" applyAlignment="1">
      <alignment vertical="center"/>
    </xf>
    <xf numFmtId="49" fontId="14" fillId="0" borderId="35" xfId="1" applyNumberFormat="1" applyFont="1" applyBorder="1" applyAlignment="1">
      <alignment horizontal="left" vertical="center"/>
    </xf>
    <xf numFmtId="0" fontId="14" fillId="0" borderId="35" xfId="1" applyFont="1" applyBorder="1" applyAlignment="1">
      <alignment horizontal="left" vertical="center"/>
    </xf>
    <xf numFmtId="0" fontId="16" fillId="5" borderId="4" xfId="1" applyFont="1" applyFill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0" fontId="14" fillId="0" borderId="4" xfId="1" applyFont="1" applyBorder="1" applyAlignment="1">
      <alignment vertical="center"/>
    </xf>
    <xf numFmtId="0" fontId="14" fillId="5" borderId="35" xfId="1" applyFont="1" applyFill="1" applyBorder="1" applyAlignment="1">
      <alignment horizontal="left" vertical="center"/>
    </xf>
    <xf numFmtId="0" fontId="25" fillId="0" borderId="4" xfId="1" applyFont="1" applyBorder="1" applyAlignment="1">
      <alignment vertical="center" wrapText="1"/>
    </xf>
    <xf numFmtId="0" fontId="15" fillId="0" borderId="4" xfId="1" applyFont="1" applyBorder="1" applyAlignment="1">
      <alignment vertical="center" wrapText="1"/>
    </xf>
    <xf numFmtId="3" fontId="14" fillId="2" borderId="4" xfId="3" applyNumberFormat="1" applyFont="1" applyFill="1" applyBorder="1" applyAlignment="1" applyProtection="1">
      <alignment horizontal="right" vertical="center"/>
    </xf>
    <xf numFmtId="0" fontId="14" fillId="0" borderId="35" xfId="0" applyFont="1" applyBorder="1" applyAlignment="1" applyProtection="1">
      <alignment vertical="top"/>
      <protection locked="0"/>
    </xf>
    <xf numFmtId="0" fontId="16" fillId="2" borderId="37" xfId="1" applyFont="1" applyFill="1" applyBorder="1" applyAlignment="1">
      <alignment vertical="center"/>
    </xf>
    <xf numFmtId="0" fontId="14" fillId="2" borderId="38" xfId="1" applyFont="1" applyFill="1" applyBorder="1" applyAlignment="1">
      <alignment vertical="center"/>
    </xf>
    <xf numFmtId="0" fontId="14" fillId="2" borderId="4" xfId="1" applyFont="1" applyFill="1" applyBorder="1" applyAlignment="1">
      <alignment vertical="center" wrapText="1"/>
    </xf>
    <xf numFmtId="0" fontId="16" fillId="2" borderId="4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vertical="center"/>
    </xf>
    <xf numFmtId="0" fontId="14" fillId="2" borderId="36" xfId="0" applyFont="1" applyFill="1" applyBorder="1" applyAlignment="1">
      <alignment vertical="center"/>
    </xf>
    <xf numFmtId="0" fontId="14" fillId="2" borderId="4" xfId="1" applyFont="1" applyFill="1" applyBorder="1" applyAlignment="1">
      <alignment horizontal="left" vertical="center"/>
    </xf>
    <xf numFmtId="3" fontId="16" fillId="2" borderId="4" xfId="1" applyNumberFormat="1" applyFont="1" applyFill="1" applyBorder="1" applyAlignment="1">
      <alignment horizontal="right" vertical="center"/>
    </xf>
    <xf numFmtId="3" fontId="14" fillId="2" borderId="37" xfId="1" applyNumberFormat="1" applyFont="1" applyFill="1" applyBorder="1" applyAlignment="1">
      <alignment horizontal="right" vertical="center"/>
    </xf>
    <xf numFmtId="3" fontId="16" fillId="2" borderId="4" xfId="3" applyNumberFormat="1" applyFont="1" applyFill="1" applyBorder="1" applyAlignment="1" applyProtection="1">
      <alignment horizontal="right" vertical="center"/>
    </xf>
    <xf numFmtId="3" fontId="14" fillId="2" borderId="38" xfId="1" applyNumberFormat="1" applyFont="1" applyFill="1" applyBorder="1" applyAlignment="1">
      <alignment horizontal="right" vertical="center"/>
    </xf>
    <xf numFmtId="3" fontId="15" fillId="2" borderId="36" xfId="0" applyNumberFormat="1" applyFont="1" applyFill="1" applyBorder="1" applyAlignment="1">
      <alignment horizontal="right" vertical="center"/>
    </xf>
    <xf numFmtId="166" fontId="22" fillId="0" borderId="0" xfId="6" applyNumberFormat="1" applyFont="1" applyAlignment="1">
      <alignment horizontal="center" vertical="center"/>
    </xf>
    <xf numFmtId="0" fontId="23" fillId="3" borderId="4" xfId="6" applyFont="1" applyFill="1" applyBorder="1" applyAlignment="1">
      <alignment horizontal="center" vertical="center" wrapText="1"/>
    </xf>
    <xf numFmtId="166" fontId="21" fillId="3" borderId="1" xfId="6" applyNumberFormat="1" applyFont="1" applyFill="1" applyBorder="1" applyAlignment="1">
      <alignment horizontal="right" vertical="center"/>
    </xf>
    <xf numFmtId="166" fontId="23" fillId="3" borderId="4" xfId="6" applyNumberFormat="1" applyFont="1" applyFill="1" applyBorder="1" applyAlignment="1">
      <alignment horizontal="right" vertical="center"/>
    </xf>
    <xf numFmtId="166" fontId="19" fillId="0" borderId="4" xfId="6" applyNumberFormat="1" applyFont="1" applyBorder="1" applyAlignment="1">
      <alignment vertical="center"/>
    </xf>
    <xf numFmtId="166" fontId="23" fillId="0" borderId="26" xfId="6" applyNumberFormat="1" applyFont="1" applyBorder="1" applyAlignment="1">
      <alignment vertical="center"/>
    </xf>
    <xf numFmtId="166" fontId="23" fillId="0" borderId="23" xfId="6" applyNumberFormat="1" applyFont="1" applyBorder="1" applyAlignment="1">
      <alignment vertical="center"/>
    </xf>
    <xf numFmtId="166" fontId="22" fillId="0" borderId="0" xfId="6" applyNumberFormat="1" applyFont="1" applyAlignment="1">
      <alignment vertical="center"/>
    </xf>
    <xf numFmtId="0" fontId="19" fillId="0" borderId="3" xfId="6" applyFont="1" applyBorder="1" applyAlignment="1">
      <alignment horizontal="center" wrapText="1"/>
    </xf>
    <xf numFmtId="0" fontId="19" fillId="0" borderId="3" xfId="6" applyFont="1" applyBorder="1" applyAlignment="1">
      <alignment horizontal="center" vertical="center" wrapText="1"/>
    </xf>
    <xf numFmtId="166" fontId="7" fillId="0" borderId="40" xfId="6" applyNumberFormat="1" applyBorder="1" applyAlignment="1">
      <alignment horizontal="right" vertical="center"/>
    </xf>
    <xf numFmtId="167" fontId="2" fillId="0" borderId="4" xfId="6" applyNumberFormat="1" applyFont="1" applyBorder="1" applyAlignment="1">
      <alignment horizontal="right" vertical="center"/>
    </xf>
    <xf numFmtId="167" fontId="2" fillId="4" borderId="1" xfId="6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vertical="center" wrapText="1"/>
    </xf>
    <xf numFmtId="0" fontId="14" fillId="0" borderId="35" xfId="1" applyFont="1" applyFill="1" applyBorder="1" applyAlignment="1">
      <alignment horizontal="left" vertical="center"/>
    </xf>
    <xf numFmtId="0" fontId="0" fillId="0" borderId="0" xfId="0" applyFont="1" applyFill="1"/>
    <xf numFmtId="0" fontId="14" fillId="0" borderId="41" xfId="1" applyFont="1" applyFill="1" applyBorder="1" applyAlignment="1" applyProtection="1">
      <alignment vertical="center" wrapText="1"/>
    </xf>
    <xf numFmtId="0" fontId="15" fillId="0" borderId="4" xfId="1" applyFont="1" applyFill="1" applyBorder="1" applyAlignment="1">
      <alignment vertical="center" wrapText="1"/>
    </xf>
    <xf numFmtId="0" fontId="0" fillId="0" borderId="0" xfId="0" applyFill="1"/>
    <xf numFmtId="0" fontId="15" fillId="0" borderId="0" xfId="0" applyFont="1"/>
    <xf numFmtId="4" fontId="14" fillId="0" borderId="4" xfId="1" applyNumberFormat="1" applyFont="1" applyFill="1" applyBorder="1" applyAlignment="1">
      <alignment horizontal="right" vertical="center"/>
    </xf>
    <xf numFmtId="49" fontId="14" fillId="0" borderId="35" xfId="1" applyNumberFormat="1" applyFont="1" applyFill="1" applyBorder="1" applyAlignment="1">
      <alignment horizontal="left" vertical="center"/>
    </xf>
    <xf numFmtId="0" fontId="14" fillId="0" borderId="33" xfId="1" applyFont="1" applyFill="1" applyBorder="1" applyAlignment="1">
      <alignment horizontal="left" vertical="center"/>
    </xf>
    <xf numFmtId="0" fontId="14" fillId="0" borderId="43" xfId="1" applyFont="1" applyFill="1" applyBorder="1" applyAlignment="1">
      <alignment horizontal="left" vertical="center"/>
    </xf>
    <xf numFmtId="0" fontId="14" fillId="0" borderId="0" xfId="0" applyFont="1"/>
    <xf numFmtId="0" fontId="23" fillId="0" borderId="3" xfId="6" applyFont="1" applyBorder="1" applyAlignment="1">
      <alignment horizontal="center" vertical="center" wrapText="1"/>
    </xf>
    <xf numFmtId="166" fontId="23" fillId="0" borderId="16" xfId="6" applyNumberFormat="1" applyFont="1" applyBorder="1" applyAlignment="1">
      <alignment vertical="center"/>
    </xf>
    <xf numFmtId="0" fontId="19" fillId="0" borderId="40" xfId="6" applyFont="1" applyBorder="1"/>
    <xf numFmtId="0" fontId="19" fillId="0" borderId="20" xfId="6" applyFont="1" applyBorder="1"/>
    <xf numFmtId="0" fontId="7" fillId="0" borderId="0" xfId="6" applyBorder="1"/>
    <xf numFmtId="0" fontId="23" fillId="0" borderId="44" xfId="6" applyFont="1" applyBorder="1" applyAlignment="1">
      <alignment horizontal="center" vertical="center" wrapText="1"/>
    </xf>
    <xf numFmtId="166" fontId="23" fillId="0" borderId="45" xfId="6" applyNumberFormat="1" applyFont="1" applyBorder="1" applyAlignment="1">
      <alignment horizontal="right" vertical="center" wrapText="1"/>
    </xf>
    <xf numFmtId="166" fontId="21" fillId="0" borderId="46" xfId="6" applyNumberFormat="1" applyFont="1" applyBorder="1" applyAlignment="1">
      <alignment horizontal="right" vertical="center"/>
    </xf>
    <xf numFmtId="0" fontId="7" fillId="0" borderId="47" xfId="6" applyBorder="1"/>
    <xf numFmtId="0" fontId="23" fillId="0" borderId="4" xfId="6" applyFont="1" applyBorder="1" applyAlignment="1">
      <alignment horizontal="center" vertical="center" wrapText="1"/>
    </xf>
    <xf numFmtId="0" fontId="7" fillId="0" borderId="48" xfId="6" applyBorder="1"/>
    <xf numFmtId="0" fontId="7" fillId="0" borderId="40" xfId="6" applyBorder="1"/>
    <xf numFmtId="166" fontId="23" fillId="0" borderId="4" xfId="6" applyNumberFormat="1" applyFont="1" applyBorder="1" applyAlignment="1">
      <alignment vertical="center"/>
    </xf>
    <xf numFmtId="0" fontId="14" fillId="0" borderId="0" xfId="0" applyFont="1" applyAlignment="1">
      <alignment horizontal="left"/>
    </xf>
    <xf numFmtId="1" fontId="14" fillId="0" borderId="0" xfId="0" applyNumberFormat="1" applyFont="1" applyBorder="1" applyAlignment="1">
      <alignment horizontal="left"/>
    </xf>
    <xf numFmtId="0" fontId="14" fillId="0" borderId="42" xfId="1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NumberFormat="1" applyFont="1" applyAlignment="1">
      <alignment horizontal="left"/>
    </xf>
    <xf numFmtId="0" fontId="14" fillId="0" borderId="0" xfId="0" applyNumberFormat="1" applyFont="1" applyFill="1" applyAlignment="1">
      <alignment horizontal="left"/>
    </xf>
    <xf numFmtId="169" fontId="14" fillId="0" borderId="42" xfId="1" applyNumberFormat="1" applyFont="1" applyFill="1" applyBorder="1" applyAlignment="1" applyProtection="1">
      <alignment horizontal="left" vertical="center"/>
    </xf>
    <xf numFmtId="49" fontId="27" fillId="0" borderId="0" xfId="1" applyNumberFormat="1" applyFont="1" applyAlignment="1">
      <alignment horizontal="center" vertical="center"/>
    </xf>
    <xf numFmtId="4" fontId="14" fillId="0" borderId="4" xfId="1" applyNumberFormat="1" applyFont="1" applyBorder="1" applyAlignment="1">
      <alignment horizontal="right" vertical="center"/>
    </xf>
    <xf numFmtId="0" fontId="13" fillId="8" borderId="4" xfId="1" applyFont="1" applyFill="1" applyBorder="1" applyAlignment="1">
      <alignment horizontal="center" vertical="center" wrapText="1"/>
    </xf>
    <xf numFmtId="4" fontId="14" fillId="0" borderId="4" xfId="1" applyNumberFormat="1" applyFont="1" applyBorder="1" applyAlignment="1">
      <alignment vertical="center" wrapText="1"/>
    </xf>
    <xf numFmtId="4" fontId="14" fillId="0" borderId="4" xfId="1" applyNumberFormat="1" applyFont="1" applyFill="1" applyBorder="1" applyAlignment="1">
      <alignment vertical="center" wrapText="1"/>
    </xf>
    <xf numFmtId="4" fontId="15" fillId="0" borderId="4" xfId="1" applyNumberFormat="1" applyFont="1" applyFill="1" applyBorder="1" applyAlignment="1">
      <alignment vertical="center" wrapText="1"/>
    </xf>
    <xf numFmtId="4" fontId="15" fillId="0" borderId="4" xfId="1" applyNumberFormat="1" applyFont="1" applyBorder="1" applyAlignment="1">
      <alignment vertical="center" wrapText="1"/>
    </xf>
    <xf numFmtId="4" fontId="15" fillId="0" borderId="0" xfId="1" applyNumberFormat="1" applyFont="1" applyFill="1" applyBorder="1" applyAlignment="1">
      <alignment vertical="center" wrapText="1"/>
    </xf>
    <xf numFmtId="4" fontId="13" fillId="7" borderId="4" xfId="2" applyNumberFormat="1" applyFont="1" applyFill="1" applyBorder="1" applyAlignment="1">
      <alignment horizontal="center" vertical="center" wrapText="1"/>
    </xf>
    <xf numFmtId="4" fontId="13" fillId="9" borderId="4" xfId="2" applyNumberFormat="1" applyFont="1" applyFill="1" applyBorder="1" applyAlignment="1">
      <alignment horizontal="center" vertical="center" wrapText="1"/>
    </xf>
    <xf numFmtId="4" fontId="14" fillId="0" borderId="0" xfId="1" quotePrefix="1" applyNumberFormat="1" applyFont="1" applyFill="1" applyAlignment="1">
      <alignment horizontal="right" vertical="center"/>
    </xf>
    <xf numFmtId="4" fontId="0" fillId="0" borderId="0" xfId="0" applyNumberFormat="1"/>
    <xf numFmtId="4" fontId="16" fillId="5" borderId="4" xfId="1" applyNumberFormat="1" applyFont="1" applyFill="1" applyBorder="1" applyAlignment="1">
      <alignment vertical="center" wrapText="1"/>
    </xf>
    <xf numFmtId="3" fontId="11" fillId="3" borderId="0" xfId="1" applyNumberFormat="1" applyFont="1" applyFill="1" applyAlignment="1">
      <alignment vertical="center"/>
    </xf>
    <xf numFmtId="0" fontId="0" fillId="3" borderId="0" xfId="0" applyFill="1"/>
    <xf numFmtId="4" fontId="13" fillId="6" borderId="38" xfId="2" applyNumberFormat="1" applyFont="1" applyFill="1" applyBorder="1" applyAlignment="1">
      <alignment horizontal="center" vertical="center" wrapText="1"/>
    </xf>
    <xf numFmtId="4" fontId="14" fillId="0" borderId="4" xfId="0" applyNumberFormat="1" applyFont="1" applyBorder="1"/>
    <xf numFmtId="49" fontId="27" fillId="0" borderId="0" xfId="1" applyNumberFormat="1" applyFont="1" applyAlignment="1">
      <alignment horizontal="center" vertical="center"/>
    </xf>
    <xf numFmtId="0" fontId="14" fillId="0" borderId="49" xfId="1" applyFont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4" fontId="14" fillId="0" borderId="3" xfId="1" quotePrefix="1" applyNumberFormat="1" applyFont="1" applyFill="1" applyBorder="1" applyAlignment="1">
      <alignment horizontal="right" vertical="center"/>
    </xf>
    <xf numFmtId="4" fontId="16" fillId="2" borderId="4" xfId="1" applyNumberFormat="1" applyFont="1" applyFill="1" applyBorder="1" applyAlignment="1">
      <alignment horizontal="right" vertical="center"/>
    </xf>
    <xf numFmtId="0" fontId="14" fillId="2" borderId="35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vertical="center" wrapText="1"/>
    </xf>
    <xf numFmtId="3" fontId="14" fillId="2" borderId="38" xfId="3" applyNumberFormat="1" applyFont="1" applyFill="1" applyBorder="1" applyAlignment="1" applyProtection="1">
      <alignment horizontal="right" vertical="center"/>
    </xf>
    <xf numFmtId="4" fontId="15" fillId="0" borderId="3" xfId="1" applyNumberFormat="1" applyFont="1" applyFill="1" applyBorder="1" applyAlignment="1">
      <alignment vertical="center" wrapText="1"/>
    </xf>
    <xf numFmtId="4" fontId="0" fillId="0" borderId="3" xfId="0" applyNumberFormat="1" applyBorder="1"/>
    <xf numFmtId="4" fontId="16" fillId="0" borderId="0" xfId="1" applyNumberFormat="1" applyFont="1" applyAlignment="1">
      <alignment horizontal="left" vertical="center"/>
    </xf>
    <xf numFmtId="4" fontId="16" fillId="0" borderId="0" xfId="3" applyNumberFormat="1" applyFont="1" applyFill="1" applyBorder="1" applyAlignment="1" applyProtection="1">
      <alignment horizontal="right" vertical="center"/>
    </xf>
    <xf numFmtId="4" fontId="14" fillId="0" borderId="0" xfId="1" applyNumberFormat="1" applyFont="1" applyAlignment="1">
      <alignment vertical="center"/>
    </xf>
    <xf numFmtId="4" fontId="13" fillId="10" borderId="4" xfId="2" applyNumberFormat="1" applyFont="1" applyFill="1" applyBorder="1" applyAlignment="1">
      <alignment horizontal="center" vertical="center" wrapText="1"/>
    </xf>
    <xf numFmtId="4" fontId="13" fillId="11" borderId="4" xfId="2" applyNumberFormat="1" applyFont="1" applyFill="1" applyBorder="1" applyAlignment="1">
      <alignment horizontal="center" vertical="center" wrapText="1"/>
    </xf>
    <xf numFmtId="164" fontId="23" fillId="3" borderId="7" xfId="6" applyNumberFormat="1" applyFont="1" applyFill="1" applyBorder="1" applyAlignment="1">
      <alignment horizontal="right" vertical="center" wrapText="1"/>
    </xf>
    <xf numFmtId="166" fontId="19" fillId="0" borderId="40" xfId="6" applyNumberFormat="1" applyFont="1" applyBorder="1" applyAlignment="1">
      <alignment horizontal="right" vertical="center"/>
    </xf>
    <xf numFmtId="166" fontId="23" fillId="0" borderId="27" xfId="6" applyNumberFormat="1" applyFont="1" applyBorder="1" applyAlignment="1">
      <alignment horizontal="right" vertical="center"/>
    </xf>
    <xf numFmtId="0" fontId="19" fillId="0" borderId="0" xfId="6" applyFont="1" applyBorder="1" applyAlignment="1">
      <alignment horizontal="center" vertical="center" wrapText="1"/>
    </xf>
    <xf numFmtId="164" fontId="19" fillId="0" borderId="21" xfId="6" applyNumberFormat="1" applyFont="1" applyBorder="1" applyAlignment="1">
      <alignment horizontal="right" vertical="center"/>
    </xf>
    <xf numFmtId="166" fontId="28" fillId="0" borderId="30" xfId="6" applyNumberFormat="1" applyFont="1" applyBorder="1" applyAlignment="1">
      <alignment vertical="center"/>
    </xf>
    <xf numFmtId="164" fontId="19" fillId="0" borderId="19" xfId="6" applyNumberFormat="1" applyFont="1" applyBorder="1" applyAlignment="1">
      <alignment horizontal="right" vertical="center"/>
    </xf>
    <xf numFmtId="164" fontId="28" fillId="0" borderId="30" xfId="6" applyNumberFormat="1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19" fillId="0" borderId="0" xfId="6" applyFont="1" applyBorder="1" applyAlignment="1">
      <alignment horizontal="center" vertical="center" wrapText="1"/>
    </xf>
    <xf numFmtId="164" fontId="19" fillId="0" borderId="0" xfId="6" applyNumberFormat="1" applyFont="1"/>
    <xf numFmtId="49" fontId="27" fillId="0" borderId="32" xfId="1" applyNumberFormat="1" applyFont="1" applyBorder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19" fillId="0" borderId="14" xfId="6" applyFont="1" applyBorder="1" applyAlignment="1">
      <alignment horizontal="center" vertical="center" wrapText="1"/>
    </xf>
    <xf numFmtId="0" fontId="19" fillId="0" borderId="15" xfId="6" applyFont="1" applyBorder="1" applyAlignment="1">
      <alignment horizontal="center" vertical="center" wrapText="1"/>
    </xf>
    <xf numFmtId="166" fontId="23" fillId="0" borderId="28" xfId="6" applyNumberFormat="1" applyFont="1" applyBorder="1" applyAlignment="1">
      <alignment horizontal="center" vertical="center"/>
    </xf>
    <xf numFmtId="166" fontId="23" fillId="0" borderId="29" xfId="6" applyNumberFormat="1" applyFont="1" applyBorder="1" applyAlignment="1">
      <alignment horizontal="center" vertical="center"/>
    </xf>
    <xf numFmtId="166" fontId="23" fillId="0" borderId="24" xfId="6" applyNumberFormat="1" applyFont="1" applyBorder="1" applyAlignment="1">
      <alignment horizontal="center" vertical="center"/>
    </xf>
    <xf numFmtId="166" fontId="23" fillId="0" borderId="39" xfId="6" applyNumberFormat="1" applyFont="1" applyBorder="1" applyAlignment="1">
      <alignment horizontal="center" vertical="center"/>
    </xf>
    <xf numFmtId="166" fontId="28" fillId="0" borderId="28" xfId="6" applyNumberFormat="1" applyFont="1" applyBorder="1" applyAlignment="1">
      <alignment horizontal="center" vertical="center"/>
    </xf>
    <xf numFmtId="0" fontId="29" fillId="0" borderId="29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19" fillId="0" borderId="0" xfId="6" applyFont="1" applyBorder="1" applyAlignment="1">
      <alignment horizontal="center" vertical="center" wrapText="1"/>
    </xf>
    <xf numFmtId="0" fontId="19" fillId="0" borderId="50" xfId="6" applyFont="1" applyBorder="1" applyAlignment="1">
      <alignment horizontal="center" vertical="center" wrapText="1"/>
    </xf>
  </cellXfs>
  <cellStyles count="23">
    <cellStyle name="Komma" xfId="3" builtinId="3"/>
    <cellStyle name="Komma 2" xfId="9"/>
    <cellStyle name="Komma 2 2" xfId="20"/>
    <cellStyle name="Komma 3" xfId="11"/>
    <cellStyle name="Komma 3 2" xfId="21"/>
    <cellStyle name="Komma 4" xfId="17"/>
    <cellStyle name="Prozent 2" xfId="13"/>
    <cellStyle name="Prozent 3" xfId="22"/>
    <cellStyle name="Standard" xfId="0" builtinId="0"/>
    <cellStyle name="Standard 2" xfId="4"/>
    <cellStyle name="Standard 2 2" xfId="6"/>
    <cellStyle name="Standard 2 2 2" xfId="7"/>
    <cellStyle name="Standard 2 2 2 2" xfId="19"/>
    <cellStyle name="Standard 2 2 3" xfId="8"/>
    <cellStyle name="Standard 3" xfId="10"/>
    <cellStyle name="Standard 3 2" xfId="12"/>
    <cellStyle name="Standard 4" xfId="14"/>
    <cellStyle name="Standard 5" xfId="16"/>
    <cellStyle name="Standard_Haushaltprodorient-gruppierung" xfId="1"/>
    <cellStyle name="Standard_Wirtschaftsplan_2006_0604_050729_überholt" xfId="2"/>
    <cellStyle name="Währung 2" xfId="5"/>
    <cellStyle name="Währung 2 2" xfId="18"/>
    <cellStyle name="Währung 3" xfId="15"/>
  </cellStyles>
  <dxfs count="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99"/>
      <color rgb="FFF5862B"/>
      <color rgb="FFDDDDDD"/>
      <color rgb="FFFFFFCD"/>
      <color rgb="FFFFFF99"/>
      <color rgb="FFFFEDB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39"/>
  <sheetViews>
    <sheetView tabSelected="1" zoomScale="75" zoomScaleNormal="75" zoomScaleSheetLayoutView="100" zoomScalePageLayoutView="80" workbookViewId="0">
      <pane xSplit="4" ySplit="6" topLeftCell="L178" activePane="bottomRight" state="frozen"/>
      <selection pane="topRight" activeCell="E1" sqref="E1"/>
      <selection pane="bottomLeft" activeCell="A7" sqref="A7"/>
      <selection pane="bottomRight" activeCell="Z198" sqref="Z198"/>
    </sheetView>
  </sheetViews>
  <sheetFormatPr baseColWidth="10" defaultColWidth="11" defaultRowHeight="15.75" x14ac:dyDescent="0.25"/>
  <cols>
    <col min="1" max="1" width="1.5703125" customWidth="1"/>
    <col min="2" max="2" width="9.28515625" style="159" hidden="1" customWidth="1"/>
    <col min="3" max="3" width="8" bestFit="1" customWidth="1"/>
    <col min="4" max="4" width="76.42578125" customWidth="1"/>
    <col min="5" max="8" width="15.5703125" customWidth="1"/>
    <col min="9" max="9" width="17.28515625" bestFit="1" customWidth="1"/>
    <col min="10" max="10" width="16.140625" bestFit="1" customWidth="1"/>
    <col min="11" max="12" width="14.42578125" customWidth="1"/>
    <col min="13" max="14" width="15.5703125" bestFit="1" customWidth="1"/>
    <col min="15" max="15" width="14.5703125" customWidth="1"/>
    <col min="16" max="16" width="14.140625" customWidth="1"/>
    <col min="17" max="17" width="14.5703125" customWidth="1"/>
    <col min="18" max="18" width="15.42578125" customWidth="1"/>
    <col min="19" max="19" width="13.5703125" customWidth="1"/>
    <col min="20" max="20" width="14.28515625" customWidth="1"/>
    <col min="21" max="21" width="14.5703125" customWidth="1"/>
    <col min="22" max="24" width="15.140625" customWidth="1"/>
    <col min="25" max="25" width="12.7109375" customWidth="1"/>
    <col min="26" max="27" width="13.140625" bestFit="1" customWidth="1"/>
  </cols>
  <sheetData>
    <row r="1" spans="2:25" ht="19.5" thickTop="1" x14ac:dyDescent="0.25">
      <c r="C1" s="78"/>
      <c r="D1" s="209" t="s">
        <v>207</v>
      </c>
    </row>
    <row r="2" spans="2:25" ht="18.75" x14ac:dyDescent="0.25">
      <c r="C2" s="79"/>
      <c r="D2" s="210"/>
      <c r="E2" s="183"/>
      <c r="F2" s="166"/>
      <c r="G2" s="166"/>
      <c r="H2" s="166"/>
      <c r="I2" s="166"/>
      <c r="K2" s="179"/>
      <c r="L2" s="179"/>
      <c r="M2" s="179"/>
      <c r="N2" s="180"/>
      <c r="O2" s="180"/>
      <c r="P2" s="180"/>
      <c r="Q2" s="180"/>
    </row>
    <row r="3" spans="2:25" ht="78.75" x14ac:dyDescent="0.25">
      <c r="B3" s="97" t="s">
        <v>358</v>
      </c>
      <c r="C3" s="97" t="s">
        <v>62</v>
      </c>
      <c r="D3" s="70" t="s">
        <v>63</v>
      </c>
      <c r="E3" s="168" t="s">
        <v>395</v>
      </c>
      <c r="F3" s="168" t="s">
        <v>373</v>
      </c>
      <c r="G3" s="168" t="s">
        <v>396</v>
      </c>
      <c r="H3" s="168" t="s">
        <v>397</v>
      </c>
      <c r="I3" s="168" t="s">
        <v>383</v>
      </c>
      <c r="J3" s="175" t="s">
        <v>374</v>
      </c>
      <c r="K3" s="175" t="s">
        <v>398</v>
      </c>
      <c r="L3" s="175" t="s">
        <v>399</v>
      </c>
      <c r="M3" s="175" t="s">
        <v>400</v>
      </c>
      <c r="N3" s="174" t="s">
        <v>376</v>
      </c>
      <c r="O3" s="174" t="s">
        <v>398</v>
      </c>
      <c r="P3" s="174" t="s">
        <v>399</v>
      </c>
      <c r="Q3" s="174" t="s">
        <v>375</v>
      </c>
      <c r="R3" s="181" t="s">
        <v>380</v>
      </c>
      <c r="S3" s="181" t="s">
        <v>381</v>
      </c>
      <c r="T3" s="181" t="s">
        <v>382</v>
      </c>
      <c r="U3" s="181" t="s">
        <v>386</v>
      </c>
      <c r="V3" s="196" t="s">
        <v>387</v>
      </c>
      <c r="W3" s="197" t="s">
        <v>394</v>
      </c>
      <c r="X3" s="197" t="s">
        <v>402</v>
      </c>
      <c r="Y3" s="197" t="s">
        <v>403</v>
      </c>
    </row>
    <row r="4" spans="2:25" x14ac:dyDescent="0.25">
      <c r="C4" s="81"/>
      <c r="D4" s="80"/>
      <c r="E4" s="80"/>
      <c r="F4" s="80"/>
      <c r="G4" s="80"/>
      <c r="H4" s="80"/>
      <c r="I4" s="80"/>
      <c r="J4" s="74"/>
      <c r="K4" s="74"/>
      <c r="L4" s="74"/>
      <c r="M4" s="74"/>
    </row>
    <row r="5" spans="2:25" x14ac:dyDescent="0.25">
      <c r="C5" s="82"/>
      <c r="D5" s="80" t="s">
        <v>0</v>
      </c>
      <c r="E5" s="80"/>
      <c r="F5" s="80"/>
      <c r="G5" s="80"/>
      <c r="H5" s="80"/>
      <c r="I5" s="80"/>
      <c r="J5" s="74"/>
      <c r="K5" s="74"/>
      <c r="L5" s="74"/>
      <c r="M5" s="74"/>
    </row>
    <row r="6" spans="2:25" x14ac:dyDescent="0.25">
      <c r="C6" s="83"/>
      <c r="D6" s="84"/>
      <c r="E6" s="84"/>
      <c r="F6" s="84"/>
      <c r="G6" s="84"/>
      <c r="H6" s="84"/>
      <c r="I6" s="84"/>
      <c r="J6" s="75"/>
      <c r="K6" s="75"/>
      <c r="L6" s="75"/>
      <c r="M6" s="75"/>
    </row>
    <row r="7" spans="2:25" ht="15" customHeight="1" x14ac:dyDescent="0.25">
      <c r="B7" s="160" t="s">
        <v>255</v>
      </c>
      <c r="C7" s="98" t="s">
        <v>50</v>
      </c>
      <c r="D7" s="71" t="s">
        <v>52</v>
      </c>
      <c r="E7" s="169">
        <v>12247.199999999999</v>
      </c>
      <c r="F7" s="169">
        <v>12247.199999999999</v>
      </c>
      <c r="G7" s="169">
        <v>0</v>
      </c>
      <c r="H7" s="169">
        <v>0</v>
      </c>
      <c r="I7" s="169">
        <v>0</v>
      </c>
      <c r="J7" s="169">
        <v>3534.3</v>
      </c>
      <c r="K7" s="169">
        <f t="shared" ref="K7:K21" si="0">IF(AND(G7&gt;0, J7&gt;0), MIN(J7, G7), 0)</f>
        <v>0</v>
      </c>
      <c r="L7" s="169">
        <f t="shared" ref="L7:L21" si="1">IF(AND(H7&gt;0, J7&gt;0), MIN(H7, J7 - K7), 0)</f>
        <v>0</v>
      </c>
      <c r="M7" s="169">
        <f t="shared" ref="M7:M21" si="2">IF(J7&lt;0, J7, MAX(0, J7 - K7 - L7))</f>
        <v>3534.3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f>M7+N7</f>
        <v>3534.3</v>
      </c>
      <c r="W7" s="182">
        <f t="shared" ref="W7:W22" si="3">J7+N7</f>
        <v>3534.3</v>
      </c>
      <c r="X7" s="169">
        <v>0</v>
      </c>
      <c r="Y7" s="169">
        <v>0</v>
      </c>
    </row>
    <row r="8" spans="2:25" x14ac:dyDescent="0.25">
      <c r="B8" s="160" t="s">
        <v>256</v>
      </c>
      <c r="C8" s="99" t="s">
        <v>51</v>
      </c>
      <c r="D8" s="71" t="s">
        <v>53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  <c r="J8" s="169">
        <v>0</v>
      </c>
      <c r="K8" s="169">
        <f t="shared" si="0"/>
        <v>0</v>
      </c>
      <c r="L8" s="169">
        <f t="shared" si="1"/>
        <v>0</v>
      </c>
      <c r="M8" s="169">
        <f t="shared" si="2"/>
        <v>0</v>
      </c>
      <c r="N8" s="169">
        <v>0</v>
      </c>
      <c r="O8" s="169">
        <v>0</v>
      </c>
      <c r="P8" s="169">
        <v>0</v>
      </c>
      <c r="Q8" s="169">
        <f t="shared" ref="Q8:Q21" si="4">N8-O8-P8</f>
        <v>0</v>
      </c>
      <c r="R8" s="169">
        <v>0</v>
      </c>
      <c r="S8" s="169">
        <v>0</v>
      </c>
      <c r="T8" s="169">
        <v>0</v>
      </c>
      <c r="U8" s="169">
        <v>0</v>
      </c>
      <c r="V8" s="169">
        <f t="shared" ref="V8:V22" si="5">M8+N8</f>
        <v>0</v>
      </c>
      <c r="W8" s="182">
        <f t="shared" si="3"/>
        <v>0</v>
      </c>
      <c r="X8" s="169">
        <v>0</v>
      </c>
      <c r="Y8" s="169">
        <v>0</v>
      </c>
    </row>
    <row r="9" spans="2:25" x14ac:dyDescent="0.25">
      <c r="B9" s="160" t="s">
        <v>257</v>
      </c>
      <c r="C9" s="142" t="s">
        <v>247</v>
      </c>
      <c r="D9" s="71" t="s">
        <v>131</v>
      </c>
      <c r="E9" s="169">
        <v>171567</v>
      </c>
      <c r="F9" s="169">
        <v>0</v>
      </c>
      <c r="G9" s="169">
        <v>0</v>
      </c>
      <c r="H9" s="169">
        <v>171567</v>
      </c>
      <c r="I9" s="169">
        <f>M9+N9</f>
        <v>28436833.039999999</v>
      </c>
      <c r="J9" s="169">
        <v>22115112.449999999</v>
      </c>
      <c r="K9" s="169">
        <f t="shared" si="0"/>
        <v>0</v>
      </c>
      <c r="L9" s="169">
        <f t="shared" si="1"/>
        <v>171567</v>
      </c>
      <c r="M9" s="169">
        <f>IF(J9&lt;0, J9, MAX(0, J9 - K9 - L9))</f>
        <v>21943545.449999999</v>
      </c>
      <c r="N9" s="169">
        <v>6493287.5899999999</v>
      </c>
      <c r="O9" s="169">
        <v>0</v>
      </c>
      <c r="P9" s="169">
        <v>0</v>
      </c>
      <c r="Q9" s="169">
        <f t="shared" si="4"/>
        <v>6493287.5899999999</v>
      </c>
      <c r="R9" s="169">
        <v>0</v>
      </c>
      <c r="S9" s="169">
        <v>0</v>
      </c>
      <c r="T9" s="169">
        <v>0</v>
      </c>
      <c r="U9" s="169">
        <v>0</v>
      </c>
      <c r="V9" s="169">
        <f t="shared" si="5"/>
        <v>28436833.039999999</v>
      </c>
      <c r="W9" s="182">
        <f t="shared" si="3"/>
        <v>28608400.039999999</v>
      </c>
      <c r="X9" s="169">
        <v>0</v>
      </c>
      <c r="Y9" s="169">
        <v>0</v>
      </c>
    </row>
    <row r="10" spans="2:25" x14ac:dyDescent="0.25">
      <c r="B10" s="160" t="s">
        <v>258</v>
      </c>
      <c r="C10" s="100" t="s">
        <v>23</v>
      </c>
      <c r="D10" s="73" t="s">
        <v>2</v>
      </c>
      <c r="E10" s="169">
        <v>44903758.229999997</v>
      </c>
      <c r="F10" s="169">
        <v>44903758.229999997</v>
      </c>
      <c r="G10" s="169">
        <v>0</v>
      </c>
      <c r="H10" s="169">
        <v>0</v>
      </c>
      <c r="I10" s="169">
        <v>0</v>
      </c>
      <c r="J10" s="169">
        <v>44562130.939999998</v>
      </c>
      <c r="K10" s="169">
        <f t="shared" si="0"/>
        <v>0</v>
      </c>
      <c r="L10" s="169">
        <f t="shared" si="1"/>
        <v>0</v>
      </c>
      <c r="M10" s="169">
        <f t="shared" si="2"/>
        <v>44562130.939999998</v>
      </c>
      <c r="N10" s="169">
        <v>0</v>
      </c>
      <c r="O10" s="169">
        <v>0</v>
      </c>
      <c r="P10" s="169">
        <v>0</v>
      </c>
      <c r="Q10" s="169">
        <f t="shared" si="4"/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f t="shared" si="5"/>
        <v>44562130.939999998</v>
      </c>
      <c r="W10" s="182">
        <f t="shared" si="3"/>
        <v>44562130.939999998</v>
      </c>
      <c r="X10" s="169">
        <f>'Kostenvert. Budget'!X25</f>
        <v>3619034.3588589132</v>
      </c>
      <c r="Y10" s="169">
        <f>'Kostenvert. Budget'!Y25</f>
        <v>506277.40984350163</v>
      </c>
    </row>
    <row r="11" spans="2:25" x14ac:dyDescent="0.25">
      <c r="B11" s="161" t="s">
        <v>259</v>
      </c>
      <c r="C11" s="100" t="s">
        <v>54</v>
      </c>
      <c r="D11" s="73" t="s">
        <v>68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  <c r="J11" s="169">
        <v>0</v>
      </c>
      <c r="K11" s="169">
        <f t="shared" si="0"/>
        <v>0</v>
      </c>
      <c r="L11" s="169">
        <f t="shared" si="1"/>
        <v>0</v>
      </c>
      <c r="M11" s="169">
        <f t="shared" si="2"/>
        <v>0</v>
      </c>
      <c r="N11" s="169">
        <v>0</v>
      </c>
      <c r="O11" s="169">
        <v>0</v>
      </c>
      <c r="P11" s="169">
        <v>0</v>
      </c>
      <c r="Q11" s="169">
        <f t="shared" si="4"/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f t="shared" si="5"/>
        <v>0</v>
      </c>
      <c r="W11" s="182">
        <f t="shared" si="3"/>
        <v>0</v>
      </c>
      <c r="X11" s="169">
        <v>0</v>
      </c>
      <c r="Y11" s="169">
        <v>0</v>
      </c>
    </row>
    <row r="12" spans="2:25" x14ac:dyDescent="0.25">
      <c r="B12" s="160" t="s">
        <v>260</v>
      </c>
      <c r="C12" s="100" t="s">
        <v>150</v>
      </c>
      <c r="D12" s="73" t="s">
        <v>151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169">
        <v>0</v>
      </c>
      <c r="K12" s="169">
        <f t="shared" si="0"/>
        <v>0</v>
      </c>
      <c r="L12" s="169">
        <f t="shared" si="1"/>
        <v>0</v>
      </c>
      <c r="M12" s="169">
        <f t="shared" si="2"/>
        <v>0</v>
      </c>
      <c r="N12" s="169">
        <v>0</v>
      </c>
      <c r="O12" s="169">
        <v>0</v>
      </c>
      <c r="P12" s="169">
        <v>0</v>
      </c>
      <c r="Q12" s="169">
        <f t="shared" si="4"/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f t="shared" si="5"/>
        <v>0</v>
      </c>
      <c r="W12" s="182">
        <f t="shared" si="3"/>
        <v>0</v>
      </c>
      <c r="X12" s="169">
        <v>0</v>
      </c>
      <c r="Y12" s="169">
        <v>0</v>
      </c>
    </row>
    <row r="13" spans="2:25" x14ac:dyDescent="0.25">
      <c r="B13" s="160" t="s">
        <v>261</v>
      </c>
      <c r="C13" s="100" t="s">
        <v>24</v>
      </c>
      <c r="D13" s="71" t="s">
        <v>3</v>
      </c>
      <c r="E13" s="169">
        <v>123476448.36</v>
      </c>
      <c r="F13" s="169">
        <v>123476448.36</v>
      </c>
      <c r="G13" s="169">
        <v>0</v>
      </c>
      <c r="H13" s="169">
        <v>0</v>
      </c>
      <c r="I13" s="169">
        <v>0</v>
      </c>
      <c r="J13" s="169">
        <v>122877693.34</v>
      </c>
      <c r="K13" s="169">
        <f t="shared" si="0"/>
        <v>0</v>
      </c>
      <c r="L13" s="169">
        <f t="shared" si="1"/>
        <v>0</v>
      </c>
      <c r="M13" s="169">
        <f t="shared" si="2"/>
        <v>122877693.34</v>
      </c>
      <c r="N13" s="169">
        <v>0</v>
      </c>
      <c r="O13" s="169">
        <v>0</v>
      </c>
      <c r="P13" s="169">
        <v>0</v>
      </c>
      <c r="Q13" s="169">
        <f t="shared" si="4"/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f t="shared" si="5"/>
        <v>122877693.34</v>
      </c>
      <c r="W13" s="182">
        <f t="shared" si="3"/>
        <v>122877693.34</v>
      </c>
      <c r="X13" s="169">
        <f>'Kostenvert. Budget'!X26</f>
        <v>540633.55710984184</v>
      </c>
      <c r="Y13" s="169">
        <f>'Kostenvert. Budget'!Y26</f>
        <v>1518832.2295305049</v>
      </c>
    </row>
    <row r="14" spans="2:25" x14ac:dyDescent="0.25">
      <c r="B14" s="160" t="s">
        <v>262</v>
      </c>
      <c r="C14" s="100" t="s">
        <v>55</v>
      </c>
      <c r="D14" s="71" t="s">
        <v>216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169">
        <v>113170.1</v>
      </c>
      <c r="K14" s="169">
        <f t="shared" si="0"/>
        <v>0</v>
      </c>
      <c r="L14" s="169">
        <f t="shared" si="1"/>
        <v>0</v>
      </c>
      <c r="M14" s="169">
        <f t="shared" si="2"/>
        <v>113170.1</v>
      </c>
      <c r="N14" s="169">
        <v>69868.759999999995</v>
      </c>
      <c r="O14" s="169">
        <v>0</v>
      </c>
      <c r="P14" s="169">
        <v>0</v>
      </c>
      <c r="Q14" s="169">
        <f t="shared" si="4"/>
        <v>69868.759999999995</v>
      </c>
      <c r="R14" s="169">
        <v>0</v>
      </c>
      <c r="S14" s="169">
        <v>0</v>
      </c>
      <c r="T14" s="169">
        <v>0</v>
      </c>
      <c r="U14" s="169">
        <v>0</v>
      </c>
      <c r="V14" s="169">
        <f t="shared" si="5"/>
        <v>183038.86</v>
      </c>
      <c r="W14" s="182">
        <f t="shared" si="3"/>
        <v>183038.86</v>
      </c>
      <c r="X14" s="169">
        <v>0</v>
      </c>
      <c r="Y14" s="169">
        <v>0</v>
      </c>
    </row>
    <row r="15" spans="2:25" x14ac:dyDescent="0.25">
      <c r="B15" s="161" t="s">
        <v>263</v>
      </c>
      <c r="C15" s="100" t="s">
        <v>60</v>
      </c>
      <c r="D15" s="71" t="s">
        <v>61</v>
      </c>
      <c r="E15" s="169">
        <v>1021429.95</v>
      </c>
      <c r="F15" s="169">
        <v>1021429.95</v>
      </c>
      <c r="G15" s="169">
        <v>0</v>
      </c>
      <c r="H15" s="169">
        <v>0</v>
      </c>
      <c r="I15" s="169">
        <v>0</v>
      </c>
      <c r="J15" s="169">
        <v>615631.52</v>
      </c>
      <c r="K15" s="169">
        <f t="shared" si="0"/>
        <v>0</v>
      </c>
      <c r="L15" s="169">
        <f t="shared" si="1"/>
        <v>0</v>
      </c>
      <c r="M15" s="169">
        <f t="shared" si="2"/>
        <v>615631.52</v>
      </c>
      <c r="N15" s="169">
        <v>263842.08</v>
      </c>
      <c r="O15" s="169">
        <v>0</v>
      </c>
      <c r="P15" s="169">
        <v>0</v>
      </c>
      <c r="Q15" s="169">
        <f t="shared" si="4"/>
        <v>263842.08</v>
      </c>
      <c r="R15" s="169">
        <v>0</v>
      </c>
      <c r="S15" s="169">
        <v>0</v>
      </c>
      <c r="T15" s="169">
        <v>0</v>
      </c>
      <c r="U15" s="169">
        <v>0</v>
      </c>
      <c r="V15" s="169">
        <f t="shared" si="5"/>
        <v>879473.60000000009</v>
      </c>
      <c r="W15" s="182">
        <f t="shared" si="3"/>
        <v>879473.60000000009</v>
      </c>
      <c r="X15" s="169">
        <f>'Kostenvert. Budget'!X27</f>
        <v>351087.49565723771</v>
      </c>
      <c r="Y15" s="169">
        <f>'Kostenvert. Budget'!Z27</f>
        <v>0</v>
      </c>
    </row>
    <row r="16" spans="2:25" x14ac:dyDescent="0.25">
      <c r="B16" s="160" t="s">
        <v>264</v>
      </c>
      <c r="C16" s="100" t="s">
        <v>152</v>
      </c>
      <c r="D16" s="73" t="s">
        <v>193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f t="shared" si="0"/>
        <v>0</v>
      </c>
      <c r="L16" s="169">
        <f t="shared" si="1"/>
        <v>0</v>
      </c>
      <c r="M16" s="169">
        <f t="shared" si="2"/>
        <v>0</v>
      </c>
      <c r="N16" s="169">
        <v>0</v>
      </c>
      <c r="O16" s="169">
        <v>0</v>
      </c>
      <c r="P16" s="169">
        <v>0</v>
      </c>
      <c r="Q16" s="169">
        <f t="shared" si="4"/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f t="shared" si="5"/>
        <v>0</v>
      </c>
      <c r="W16" s="182">
        <f t="shared" si="3"/>
        <v>0</v>
      </c>
      <c r="X16" s="169">
        <v>0</v>
      </c>
      <c r="Y16" s="169">
        <v>0</v>
      </c>
    </row>
    <row r="17" spans="2:26" x14ac:dyDescent="0.25">
      <c r="B17" s="160" t="s">
        <v>351</v>
      </c>
      <c r="C17" s="100" t="s">
        <v>152</v>
      </c>
      <c r="D17" s="73" t="s">
        <v>353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f t="shared" si="0"/>
        <v>0</v>
      </c>
      <c r="L17" s="169">
        <f t="shared" si="1"/>
        <v>0</v>
      </c>
      <c r="M17" s="169">
        <f t="shared" si="2"/>
        <v>0</v>
      </c>
      <c r="N17" s="169">
        <v>0</v>
      </c>
      <c r="O17" s="169">
        <v>0</v>
      </c>
      <c r="P17" s="169">
        <v>0</v>
      </c>
      <c r="Q17" s="169">
        <f t="shared" si="4"/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f t="shared" si="5"/>
        <v>0</v>
      </c>
      <c r="W17" s="182">
        <f t="shared" si="3"/>
        <v>0</v>
      </c>
      <c r="X17" s="169">
        <v>0</v>
      </c>
      <c r="Y17" s="169">
        <v>0</v>
      </c>
    </row>
    <row r="18" spans="2:26" x14ac:dyDescent="0.25">
      <c r="B18" s="160" t="s">
        <v>352</v>
      </c>
      <c r="C18" s="100" t="s">
        <v>152</v>
      </c>
      <c r="D18" s="73" t="s">
        <v>354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  <c r="J18" s="169">
        <v>0</v>
      </c>
      <c r="K18" s="169">
        <f t="shared" si="0"/>
        <v>0</v>
      </c>
      <c r="L18" s="169">
        <f t="shared" si="1"/>
        <v>0</v>
      </c>
      <c r="M18" s="169">
        <f t="shared" si="2"/>
        <v>0</v>
      </c>
      <c r="N18" s="169">
        <v>0</v>
      </c>
      <c r="O18" s="169">
        <v>0</v>
      </c>
      <c r="P18" s="169">
        <v>0</v>
      </c>
      <c r="Q18" s="169">
        <f t="shared" si="4"/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f t="shared" si="5"/>
        <v>0</v>
      </c>
      <c r="W18" s="182">
        <f t="shared" si="3"/>
        <v>0</v>
      </c>
      <c r="X18" s="169">
        <v>0</v>
      </c>
      <c r="Y18" s="169">
        <v>0</v>
      </c>
    </row>
    <row r="19" spans="2:26" x14ac:dyDescent="0.25">
      <c r="B19" s="160" t="s">
        <v>265</v>
      </c>
      <c r="C19" s="100" t="s">
        <v>142</v>
      </c>
      <c r="D19" s="71" t="s">
        <v>143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  <c r="J19" s="169">
        <v>0</v>
      </c>
      <c r="K19" s="169">
        <f t="shared" si="0"/>
        <v>0</v>
      </c>
      <c r="L19" s="169">
        <f t="shared" si="1"/>
        <v>0</v>
      </c>
      <c r="M19" s="169">
        <f t="shared" si="2"/>
        <v>0</v>
      </c>
      <c r="N19" s="169">
        <v>158293.32999999999</v>
      </c>
      <c r="O19" s="169">
        <v>0</v>
      </c>
      <c r="P19" s="169">
        <v>0</v>
      </c>
      <c r="Q19" s="169">
        <f t="shared" si="4"/>
        <v>158293.32999999999</v>
      </c>
      <c r="R19" s="169">
        <v>0</v>
      </c>
      <c r="S19" s="169">
        <v>0</v>
      </c>
      <c r="T19" s="169">
        <v>0</v>
      </c>
      <c r="U19" s="169">
        <v>0</v>
      </c>
      <c r="V19" s="169">
        <f t="shared" si="5"/>
        <v>158293.32999999999</v>
      </c>
      <c r="W19" s="182">
        <f t="shared" si="3"/>
        <v>158293.32999999999</v>
      </c>
      <c r="X19" s="169">
        <v>0</v>
      </c>
      <c r="Y19" s="169">
        <v>0</v>
      </c>
    </row>
    <row r="20" spans="2:26" x14ac:dyDescent="0.25">
      <c r="B20" s="160" t="s">
        <v>266</v>
      </c>
      <c r="C20" s="100" t="s">
        <v>203</v>
      </c>
      <c r="D20" s="73" t="s">
        <v>196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f t="shared" si="0"/>
        <v>0</v>
      </c>
      <c r="L20" s="169">
        <f t="shared" si="1"/>
        <v>0</v>
      </c>
      <c r="M20" s="169">
        <f t="shared" si="2"/>
        <v>0</v>
      </c>
      <c r="N20" s="169">
        <v>0</v>
      </c>
      <c r="O20" s="169">
        <v>0</v>
      </c>
      <c r="P20" s="169">
        <v>0</v>
      </c>
      <c r="Q20" s="169">
        <f t="shared" si="4"/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f t="shared" si="5"/>
        <v>0</v>
      </c>
      <c r="W20" s="182">
        <f t="shared" si="3"/>
        <v>0</v>
      </c>
      <c r="X20" s="169">
        <v>0</v>
      </c>
      <c r="Y20" s="169">
        <v>0</v>
      </c>
    </row>
    <row r="21" spans="2:26" x14ac:dyDescent="0.25">
      <c r="B21" s="160" t="s">
        <v>267</v>
      </c>
      <c r="C21" s="100" t="s">
        <v>217</v>
      </c>
      <c r="D21" s="73" t="s">
        <v>218</v>
      </c>
      <c r="E21" s="169">
        <v>0</v>
      </c>
      <c r="F21" s="169">
        <v>0</v>
      </c>
      <c r="G21" s="169">
        <v>0</v>
      </c>
      <c r="H21" s="169">
        <v>0</v>
      </c>
      <c r="I21" s="169">
        <v>838264.92</v>
      </c>
      <c r="J21" s="169">
        <v>3178255.66</v>
      </c>
      <c r="K21" s="169">
        <f t="shared" si="0"/>
        <v>0</v>
      </c>
      <c r="L21" s="169">
        <f t="shared" si="1"/>
        <v>0</v>
      </c>
      <c r="M21" s="169">
        <f t="shared" si="2"/>
        <v>3178255.66</v>
      </c>
      <c r="N21" s="169">
        <v>0</v>
      </c>
      <c r="O21" s="169">
        <v>0</v>
      </c>
      <c r="P21" s="169">
        <v>0</v>
      </c>
      <c r="Q21" s="169">
        <f t="shared" si="4"/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f t="shared" si="5"/>
        <v>3178255.66</v>
      </c>
      <c r="W21" s="182">
        <f t="shared" si="3"/>
        <v>3178255.66</v>
      </c>
      <c r="X21" s="169">
        <v>0</v>
      </c>
      <c r="Y21" s="169">
        <v>0</v>
      </c>
    </row>
    <row r="22" spans="2:26" x14ac:dyDescent="0.25">
      <c r="B22" s="161" t="s">
        <v>268</v>
      </c>
      <c r="C22" s="100" t="s">
        <v>67</v>
      </c>
      <c r="D22" s="71" t="s">
        <v>117</v>
      </c>
      <c r="E22" s="169">
        <f>SUM(F22:H22)</f>
        <v>115269123.03999999</v>
      </c>
      <c r="F22" s="169">
        <v>0</v>
      </c>
      <c r="G22" s="169">
        <v>59325600</v>
      </c>
      <c r="H22" s="169">
        <v>55943523.039999999</v>
      </c>
      <c r="I22" s="169">
        <v>0</v>
      </c>
      <c r="J22" s="169">
        <f>SUM(K22:M22)</f>
        <v>116351461.8</v>
      </c>
      <c r="K22" s="169">
        <f>G22</f>
        <v>59325600</v>
      </c>
      <c r="L22" s="169">
        <f>H22</f>
        <v>55943523.039999999</v>
      </c>
      <c r="M22" s="169">
        <f>'Kostenvert. Budget'!R4+'Kostenvert. Budget'!S4</f>
        <v>1082338.76</v>
      </c>
      <c r="N22" s="169">
        <f>O22+P22+Q22</f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f t="shared" si="5"/>
        <v>1082338.76</v>
      </c>
      <c r="W22" s="182">
        <f t="shared" si="3"/>
        <v>116351461.8</v>
      </c>
      <c r="X22" s="169">
        <f>S22+T22</f>
        <v>0</v>
      </c>
      <c r="Y22" s="169">
        <v>0</v>
      </c>
    </row>
    <row r="23" spans="2:26" s="139" customFormat="1" ht="15" customHeight="1" x14ac:dyDescent="0.25">
      <c r="B23" s="162"/>
      <c r="C23" s="104"/>
      <c r="D23" s="101" t="s">
        <v>4</v>
      </c>
      <c r="E23" s="178">
        <f t="shared" ref="E23:Y23" si="6">SUM(E7:E22)</f>
        <v>284854573.77999997</v>
      </c>
      <c r="F23" s="178">
        <f t="shared" si="6"/>
        <v>169413883.73999998</v>
      </c>
      <c r="G23" s="178">
        <f t="shared" si="6"/>
        <v>59325600</v>
      </c>
      <c r="H23" s="178">
        <f t="shared" si="6"/>
        <v>56115090.039999999</v>
      </c>
      <c r="I23" s="178">
        <f t="shared" si="6"/>
        <v>29275097.960000001</v>
      </c>
      <c r="J23" s="178">
        <f t="shared" si="6"/>
        <v>309816990.11000001</v>
      </c>
      <c r="K23" s="178">
        <f t="shared" si="6"/>
        <v>59325600</v>
      </c>
      <c r="L23" s="178">
        <f t="shared" si="6"/>
        <v>56115090.039999999</v>
      </c>
      <c r="M23" s="178">
        <f t="shared" si="6"/>
        <v>194376300.06999999</v>
      </c>
      <c r="N23" s="178">
        <f t="shared" si="6"/>
        <v>6985291.7599999998</v>
      </c>
      <c r="O23" s="178">
        <f t="shared" si="6"/>
        <v>0</v>
      </c>
      <c r="P23" s="178">
        <f t="shared" si="6"/>
        <v>0</v>
      </c>
      <c r="Q23" s="178">
        <f t="shared" si="6"/>
        <v>6985291.7599999998</v>
      </c>
      <c r="R23" s="178">
        <f t="shared" si="6"/>
        <v>0</v>
      </c>
      <c r="S23" s="178">
        <f t="shared" si="6"/>
        <v>0</v>
      </c>
      <c r="T23" s="178">
        <f t="shared" si="6"/>
        <v>0</v>
      </c>
      <c r="U23" s="178">
        <f t="shared" si="6"/>
        <v>0</v>
      </c>
      <c r="V23" s="178">
        <f t="shared" si="6"/>
        <v>201361591.83000001</v>
      </c>
      <c r="W23" s="178">
        <f t="shared" si="6"/>
        <v>316802281.87</v>
      </c>
      <c r="X23" s="178">
        <f t="shared" si="6"/>
        <v>4510755.4116259925</v>
      </c>
      <c r="Y23" s="178">
        <f t="shared" si="6"/>
        <v>2025109.6393740065</v>
      </c>
    </row>
    <row r="24" spans="2:26" x14ac:dyDescent="0.25">
      <c r="C24" s="88"/>
      <c r="D24" s="89"/>
      <c r="E24" s="193"/>
      <c r="F24" s="193"/>
      <c r="G24" s="193"/>
      <c r="H24" s="193"/>
      <c r="I24" s="193"/>
      <c r="J24" s="194"/>
      <c r="K24" s="194"/>
      <c r="L24" s="194"/>
      <c r="M24" s="194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2:26" x14ac:dyDescent="0.25">
      <c r="C25" s="87"/>
      <c r="D25" s="76"/>
      <c r="E25" s="195"/>
      <c r="F25" s="195"/>
      <c r="G25" s="195"/>
      <c r="H25" s="195"/>
      <c r="I25" s="195"/>
      <c r="J25" s="195"/>
      <c r="K25" s="195"/>
      <c r="L25" s="195"/>
      <c r="M25" s="195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2:26" x14ac:dyDescent="0.25">
      <c r="C26" s="87"/>
      <c r="D26" s="77" t="s">
        <v>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2:26" x14ac:dyDescent="0.25">
      <c r="C27" s="87"/>
      <c r="D27" s="76"/>
      <c r="E27" s="195"/>
      <c r="F27" s="195"/>
      <c r="G27" s="195"/>
      <c r="H27" s="195"/>
      <c r="I27" s="195"/>
      <c r="J27" s="195"/>
      <c r="K27" s="195"/>
      <c r="L27" s="195"/>
      <c r="M27" s="195"/>
      <c r="N27" s="177"/>
      <c r="O27" s="177"/>
      <c r="P27" s="177"/>
      <c r="Q27" s="177"/>
      <c r="R27" s="177"/>
      <c r="S27" s="177"/>
      <c r="T27" s="177"/>
      <c r="U27" s="177"/>
      <c r="V27" s="177"/>
      <c r="W27" s="177"/>
    </row>
    <row r="28" spans="2:26" s="139" customFormat="1" x14ac:dyDescent="0.25">
      <c r="B28" s="162"/>
      <c r="C28" s="104"/>
      <c r="D28" s="101" t="s">
        <v>15</v>
      </c>
      <c r="E28" s="178">
        <f t="shared" ref="E28:I28" si="7">SUM(E29:E35)</f>
        <v>9475490.4300723728</v>
      </c>
      <c r="F28" s="178">
        <f t="shared" si="7"/>
        <v>7499702.8000723729</v>
      </c>
      <c r="G28" s="178">
        <f t="shared" si="7"/>
        <v>542871.6100000001</v>
      </c>
      <c r="H28" s="178">
        <f t="shared" si="7"/>
        <v>1432916.02</v>
      </c>
      <c r="I28" s="178">
        <f t="shared" si="7"/>
        <v>0</v>
      </c>
      <c r="J28" s="178">
        <f t="shared" ref="J28:U28" si="8">SUM(J29:J35)</f>
        <v>7643102.7399999993</v>
      </c>
      <c r="K28" s="178">
        <f t="shared" si="8"/>
        <v>542871.6100000001</v>
      </c>
      <c r="L28" s="178">
        <f t="shared" si="8"/>
        <v>784040.39999999991</v>
      </c>
      <c r="M28" s="178">
        <f t="shared" si="8"/>
        <v>6316190.7299999995</v>
      </c>
      <c r="N28" s="178">
        <f t="shared" si="8"/>
        <v>2121388.19</v>
      </c>
      <c r="O28" s="178">
        <f t="shared" ref="O28" si="9">SUM(O29:O35)</f>
        <v>0</v>
      </c>
      <c r="P28" s="178">
        <f t="shared" si="8"/>
        <v>648875.62000000011</v>
      </c>
      <c r="Q28" s="178">
        <f t="shared" si="8"/>
        <v>1472512.5699999996</v>
      </c>
      <c r="R28" s="178">
        <f t="shared" si="8"/>
        <v>-289000.49992762652</v>
      </c>
      <c r="S28" s="178">
        <f t="shared" si="8"/>
        <v>0</v>
      </c>
      <c r="T28" s="178">
        <f t="shared" si="8"/>
        <v>0</v>
      </c>
      <c r="U28" s="178">
        <f t="shared" si="8"/>
        <v>-289000.49992762652</v>
      </c>
      <c r="V28" s="178">
        <f t="shared" ref="V28:W28" si="10">SUM(V29:V35)</f>
        <v>7788703.2999999998</v>
      </c>
      <c r="W28" s="178">
        <f t="shared" si="10"/>
        <v>9764490.9299999978</v>
      </c>
    </row>
    <row r="29" spans="2:26" x14ac:dyDescent="0.25">
      <c r="B29" s="159" t="s">
        <v>269</v>
      </c>
      <c r="C29" s="100" t="s">
        <v>25</v>
      </c>
      <c r="D29" s="102" t="s">
        <v>66</v>
      </c>
      <c r="E29" s="169">
        <v>3605668</v>
      </c>
      <c r="F29" s="169">
        <v>3605668</v>
      </c>
      <c r="G29" s="169">
        <v>0</v>
      </c>
      <c r="H29" s="169">
        <v>0</v>
      </c>
      <c r="I29" s="169">
        <v>0</v>
      </c>
      <c r="J29" s="169">
        <v>1276533.3400000001</v>
      </c>
      <c r="K29" s="169">
        <f t="shared" ref="K29:K35" si="11">IF(AND(G29&gt;0, J29&gt;0), MIN(J29, G29), 0)</f>
        <v>0</v>
      </c>
      <c r="L29" s="169">
        <f>IF(AND(H29&gt;0, J29&gt;0), MIN(H29, J29 - K29), 0)</f>
        <v>0</v>
      </c>
      <c r="M29" s="169">
        <f>IF(J29&lt;0, J29, MAX(0, J29 - K29 - L29))</f>
        <v>1276533.3400000001</v>
      </c>
      <c r="N29" s="169">
        <v>0</v>
      </c>
      <c r="O29" s="182">
        <f t="shared" ref="O29:O35" si="12">IF(N29&gt;0, MIN(N29, MAX(0, G29 - K29)), 0)</f>
        <v>0</v>
      </c>
      <c r="P29" s="182">
        <f t="shared" ref="P29" si="13">IF((N29-O29)&gt;0, MIN((N29-O29), MAX(0, (H29-O29) - (L29-O29))), 0)</f>
        <v>0</v>
      </c>
      <c r="Q29" s="182">
        <f>N29-O29-P29</f>
        <v>0</v>
      </c>
      <c r="R29" s="182">
        <f>SUM(S29:U29)</f>
        <v>2329134.66</v>
      </c>
      <c r="S29" s="182">
        <f>G29-K29-O29</f>
        <v>0</v>
      </c>
      <c r="T29" s="182">
        <f>H29-L29-P29</f>
        <v>0</v>
      </c>
      <c r="U29" s="182">
        <f t="shared" ref="U29:U35" si="14">F29-M29-Q29</f>
        <v>2329134.66</v>
      </c>
      <c r="V29" s="182">
        <f>M29+Q29</f>
        <v>1276533.3400000001</v>
      </c>
      <c r="W29" s="182">
        <f t="shared" ref="W29:W35" si="15">J29+N29</f>
        <v>1276533.3400000001</v>
      </c>
      <c r="Y29" s="177"/>
    </row>
    <row r="30" spans="2:26" x14ac:dyDescent="0.25">
      <c r="B30" s="159" t="s">
        <v>270</v>
      </c>
      <c r="C30" s="100" t="s">
        <v>104</v>
      </c>
      <c r="D30" s="102" t="s">
        <v>107</v>
      </c>
      <c r="E30" s="169">
        <v>2101299.63</v>
      </c>
      <c r="F30" s="169">
        <v>125512</v>
      </c>
      <c r="G30" s="169">
        <v>542871.6100000001</v>
      </c>
      <c r="H30" s="169">
        <v>1432916.02</v>
      </c>
      <c r="I30" s="169">
        <v>0</v>
      </c>
      <c r="J30" s="169">
        <v>1326912.01</v>
      </c>
      <c r="K30" s="169">
        <f t="shared" si="11"/>
        <v>542871.6100000001</v>
      </c>
      <c r="L30" s="169">
        <f t="shared" ref="L30:L35" si="16">IF(AND(H30&gt;0, J30&gt;0), MIN(H30, J30 - K30), 0)</f>
        <v>784040.39999999991</v>
      </c>
      <c r="M30" s="169">
        <f t="shared" ref="M30:M35" si="17">IF(J30&lt;0, J30, MAX(0, J30 - K30 - L30))</f>
        <v>0</v>
      </c>
      <c r="N30" s="169">
        <v>2113009.94</v>
      </c>
      <c r="O30" s="182">
        <f t="shared" si="12"/>
        <v>0</v>
      </c>
      <c r="P30" s="182">
        <f>IF((N30-O30)&gt;0, MIN((N30-O30), MAX(0, (H30-O30) - (L30-O30))), 0)</f>
        <v>648875.62000000011</v>
      </c>
      <c r="Q30" s="182">
        <f t="shared" ref="Q30:Q35" si="18">N30-O30-P30</f>
        <v>1464134.3199999998</v>
      </c>
      <c r="R30" s="182">
        <f t="shared" ref="R30:R35" si="19">SUM(S30:U30)</f>
        <v>-1338622.3199999998</v>
      </c>
      <c r="S30" s="182">
        <f t="shared" ref="S30:S35" si="20">G30-K30-O30</f>
        <v>0</v>
      </c>
      <c r="T30" s="182">
        <f t="shared" ref="T30:T35" si="21">H30-L30-P30</f>
        <v>0</v>
      </c>
      <c r="U30" s="182">
        <f t="shared" si="14"/>
        <v>-1338622.3199999998</v>
      </c>
      <c r="V30" s="182">
        <f t="shared" ref="V30:V35" si="22">M30+Q30</f>
        <v>1464134.3199999998</v>
      </c>
      <c r="W30" s="182">
        <f t="shared" si="15"/>
        <v>3439921.95</v>
      </c>
      <c r="Y30" s="177"/>
      <c r="Z30" s="177"/>
    </row>
    <row r="31" spans="2:26" x14ac:dyDescent="0.25">
      <c r="B31" s="159" t="s">
        <v>269</v>
      </c>
      <c r="C31" s="100" t="s">
        <v>26</v>
      </c>
      <c r="D31" s="103" t="s">
        <v>6</v>
      </c>
      <c r="E31" s="169">
        <v>3622169.4667390399</v>
      </c>
      <c r="F31" s="169">
        <v>3622169.4667390399</v>
      </c>
      <c r="G31" s="169">
        <v>0</v>
      </c>
      <c r="H31" s="169">
        <v>0</v>
      </c>
      <c r="I31" s="169">
        <v>0</v>
      </c>
      <c r="J31" s="169">
        <v>4903350</v>
      </c>
      <c r="K31" s="169">
        <f t="shared" si="11"/>
        <v>0</v>
      </c>
      <c r="L31" s="169">
        <f t="shared" si="16"/>
        <v>0</v>
      </c>
      <c r="M31" s="169">
        <f t="shared" si="17"/>
        <v>4903350</v>
      </c>
      <c r="N31" s="169">
        <v>0</v>
      </c>
      <c r="O31" s="182">
        <f t="shared" si="12"/>
        <v>0</v>
      </c>
      <c r="P31" s="182">
        <f t="shared" ref="P31:P35" si="23">IF((N31-O31)&gt;0, MIN((N31-O31), MAX(0, (H31-O31) - (L31-O31))), 0)</f>
        <v>0</v>
      </c>
      <c r="Q31" s="182">
        <f t="shared" si="18"/>
        <v>0</v>
      </c>
      <c r="R31" s="182">
        <f t="shared" si="19"/>
        <v>-1281180.5332609601</v>
      </c>
      <c r="S31" s="182">
        <f t="shared" si="20"/>
        <v>0</v>
      </c>
      <c r="T31" s="182">
        <f t="shared" si="21"/>
        <v>0</v>
      </c>
      <c r="U31" s="182">
        <f t="shared" si="14"/>
        <v>-1281180.5332609601</v>
      </c>
      <c r="V31" s="182">
        <f t="shared" si="22"/>
        <v>4903350</v>
      </c>
      <c r="W31" s="182">
        <f t="shared" si="15"/>
        <v>4903350</v>
      </c>
      <c r="Y31" s="177"/>
    </row>
    <row r="32" spans="2:26" x14ac:dyDescent="0.25">
      <c r="B32" s="159" t="s">
        <v>271</v>
      </c>
      <c r="C32" s="100" t="s">
        <v>41</v>
      </c>
      <c r="D32" s="103" t="s">
        <v>108</v>
      </c>
      <c r="E32" s="169">
        <v>47333.333333333336</v>
      </c>
      <c r="F32" s="169">
        <v>47333.333333333336</v>
      </c>
      <c r="G32" s="169">
        <v>0</v>
      </c>
      <c r="H32" s="169">
        <v>0</v>
      </c>
      <c r="I32" s="169">
        <v>0</v>
      </c>
      <c r="J32" s="169">
        <v>54293.33</v>
      </c>
      <c r="K32" s="169">
        <f t="shared" si="11"/>
        <v>0</v>
      </c>
      <c r="L32" s="169">
        <f t="shared" si="16"/>
        <v>0</v>
      </c>
      <c r="M32" s="169">
        <f t="shared" si="17"/>
        <v>54293.33</v>
      </c>
      <c r="N32" s="169">
        <v>1584.92</v>
      </c>
      <c r="O32" s="182">
        <f t="shared" si="12"/>
        <v>0</v>
      </c>
      <c r="P32" s="182">
        <f t="shared" si="23"/>
        <v>0</v>
      </c>
      <c r="Q32" s="182">
        <f t="shared" si="18"/>
        <v>1584.92</v>
      </c>
      <c r="R32" s="182">
        <f t="shared" si="19"/>
        <v>-8544.9166666666661</v>
      </c>
      <c r="S32" s="182">
        <f t="shared" si="20"/>
        <v>0</v>
      </c>
      <c r="T32" s="182">
        <f t="shared" si="21"/>
        <v>0</v>
      </c>
      <c r="U32" s="182">
        <f t="shared" si="14"/>
        <v>-8544.9166666666661</v>
      </c>
      <c r="V32" s="182">
        <f t="shared" si="22"/>
        <v>55878.25</v>
      </c>
      <c r="W32" s="182">
        <f t="shared" si="15"/>
        <v>55878.25</v>
      </c>
      <c r="Y32" s="177"/>
    </row>
    <row r="33" spans="2:25" x14ac:dyDescent="0.25">
      <c r="B33" s="159" t="s">
        <v>271</v>
      </c>
      <c r="C33" s="100" t="s">
        <v>47</v>
      </c>
      <c r="D33" s="103" t="s">
        <v>56</v>
      </c>
      <c r="E33" s="169">
        <v>5000</v>
      </c>
      <c r="F33" s="169">
        <v>5000</v>
      </c>
      <c r="G33" s="169">
        <v>0</v>
      </c>
      <c r="H33" s="169">
        <v>0</v>
      </c>
      <c r="I33" s="169">
        <v>0</v>
      </c>
      <c r="J33" s="169">
        <v>4991.3900000000003</v>
      </c>
      <c r="K33" s="169">
        <f t="shared" si="11"/>
        <v>0</v>
      </c>
      <c r="L33" s="169">
        <f t="shared" si="16"/>
        <v>0</v>
      </c>
      <c r="M33" s="169">
        <f t="shared" si="17"/>
        <v>4991.3900000000003</v>
      </c>
      <c r="N33" s="169">
        <v>420.88</v>
      </c>
      <c r="O33" s="182">
        <f t="shared" si="12"/>
        <v>0</v>
      </c>
      <c r="P33" s="182">
        <f t="shared" si="23"/>
        <v>0</v>
      </c>
      <c r="Q33" s="182">
        <f t="shared" si="18"/>
        <v>420.88</v>
      </c>
      <c r="R33" s="182">
        <f t="shared" si="19"/>
        <v>-412.27000000000032</v>
      </c>
      <c r="S33" s="182">
        <f t="shared" si="20"/>
        <v>0</v>
      </c>
      <c r="T33" s="182">
        <f t="shared" si="21"/>
        <v>0</v>
      </c>
      <c r="U33" s="182">
        <f t="shared" si="14"/>
        <v>-412.27000000000032</v>
      </c>
      <c r="V33" s="182">
        <f t="shared" si="22"/>
        <v>5412.27</v>
      </c>
      <c r="W33" s="182">
        <f t="shared" si="15"/>
        <v>5412.27</v>
      </c>
      <c r="Y33" s="177"/>
    </row>
    <row r="34" spans="2:25" x14ac:dyDescent="0.25">
      <c r="B34" s="159" t="s">
        <v>272</v>
      </c>
      <c r="C34" s="100" t="s">
        <v>27</v>
      </c>
      <c r="D34" s="103" t="s">
        <v>7</v>
      </c>
      <c r="E34" s="169">
        <v>3000</v>
      </c>
      <c r="F34" s="169">
        <v>3000</v>
      </c>
      <c r="G34" s="169">
        <v>0</v>
      </c>
      <c r="H34" s="169">
        <v>0</v>
      </c>
      <c r="I34" s="169">
        <v>0</v>
      </c>
      <c r="J34" s="169">
        <v>0</v>
      </c>
      <c r="K34" s="169">
        <f t="shared" si="11"/>
        <v>0</v>
      </c>
      <c r="L34" s="169">
        <f t="shared" si="16"/>
        <v>0</v>
      </c>
      <c r="M34" s="169">
        <f t="shared" si="17"/>
        <v>0</v>
      </c>
      <c r="N34" s="169">
        <v>0</v>
      </c>
      <c r="O34" s="182">
        <f t="shared" si="12"/>
        <v>0</v>
      </c>
      <c r="P34" s="182">
        <f t="shared" si="23"/>
        <v>0</v>
      </c>
      <c r="Q34" s="182">
        <f t="shared" si="18"/>
        <v>0</v>
      </c>
      <c r="R34" s="182">
        <f t="shared" si="19"/>
        <v>3000</v>
      </c>
      <c r="S34" s="182">
        <f t="shared" si="20"/>
        <v>0</v>
      </c>
      <c r="T34" s="182">
        <f t="shared" si="21"/>
        <v>0</v>
      </c>
      <c r="U34" s="182">
        <f t="shared" si="14"/>
        <v>3000</v>
      </c>
      <c r="V34" s="182">
        <f t="shared" si="22"/>
        <v>0</v>
      </c>
      <c r="W34" s="182">
        <f t="shared" si="15"/>
        <v>0</v>
      </c>
      <c r="Y34" s="177"/>
    </row>
    <row r="35" spans="2:25" x14ac:dyDescent="0.25">
      <c r="B35" s="159" t="s">
        <v>273</v>
      </c>
      <c r="C35" s="100" t="s">
        <v>105</v>
      </c>
      <c r="D35" s="103" t="s">
        <v>106</v>
      </c>
      <c r="E35" s="169">
        <v>91020</v>
      </c>
      <c r="F35" s="169">
        <v>91020</v>
      </c>
      <c r="G35" s="169">
        <v>0</v>
      </c>
      <c r="H35" s="169">
        <v>0</v>
      </c>
      <c r="I35" s="169">
        <v>0</v>
      </c>
      <c r="J35" s="169">
        <v>77022.67</v>
      </c>
      <c r="K35" s="169">
        <f t="shared" si="11"/>
        <v>0</v>
      </c>
      <c r="L35" s="169">
        <f t="shared" si="16"/>
        <v>0</v>
      </c>
      <c r="M35" s="169">
        <f t="shared" si="17"/>
        <v>77022.67</v>
      </c>
      <c r="N35" s="169">
        <v>6372.45</v>
      </c>
      <c r="O35" s="182">
        <f t="shared" si="12"/>
        <v>0</v>
      </c>
      <c r="P35" s="182">
        <f t="shared" si="23"/>
        <v>0</v>
      </c>
      <c r="Q35" s="182">
        <f t="shared" si="18"/>
        <v>6372.45</v>
      </c>
      <c r="R35" s="182">
        <f t="shared" si="19"/>
        <v>7624.8800000000019</v>
      </c>
      <c r="S35" s="182">
        <f t="shared" si="20"/>
        <v>0</v>
      </c>
      <c r="T35" s="182">
        <f t="shared" si="21"/>
        <v>0</v>
      </c>
      <c r="U35" s="182">
        <f t="shared" si="14"/>
        <v>7624.8800000000019</v>
      </c>
      <c r="V35" s="182">
        <f t="shared" si="22"/>
        <v>83395.12</v>
      </c>
      <c r="W35" s="182">
        <f t="shared" si="15"/>
        <v>83395.12</v>
      </c>
      <c r="Y35" s="177"/>
    </row>
    <row r="36" spans="2:25" x14ac:dyDescent="0.25">
      <c r="C36" s="90"/>
      <c r="D36" s="138"/>
      <c r="E36" s="173"/>
      <c r="F36" s="173"/>
      <c r="G36" s="173"/>
      <c r="H36" s="173"/>
      <c r="I36" s="173"/>
      <c r="J36" s="176"/>
      <c r="K36" s="176"/>
      <c r="L36" s="176"/>
      <c r="M36" s="176"/>
      <c r="N36" s="177"/>
      <c r="O36" s="177"/>
      <c r="P36" s="177"/>
      <c r="Q36" s="177"/>
      <c r="R36" s="177"/>
      <c r="S36" s="177"/>
      <c r="T36" s="177"/>
      <c r="U36" s="177"/>
      <c r="V36" s="177"/>
      <c r="W36" s="177"/>
    </row>
    <row r="37" spans="2:25" s="139" customFormat="1" x14ac:dyDescent="0.25">
      <c r="B37" s="162"/>
      <c r="C37" s="104"/>
      <c r="D37" s="101" t="s">
        <v>114</v>
      </c>
      <c r="E37" s="178">
        <f t="shared" ref="E37:I37" si="24">SUM(E38:E44)</f>
        <v>1824218.0120000001</v>
      </c>
      <c r="F37" s="178">
        <f t="shared" si="24"/>
        <v>1524200.9620000001</v>
      </c>
      <c r="G37" s="178">
        <f t="shared" si="24"/>
        <v>0</v>
      </c>
      <c r="H37" s="178">
        <f t="shared" si="24"/>
        <v>300017.05</v>
      </c>
      <c r="I37" s="178">
        <f t="shared" si="24"/>
        <v>0</v>
      </c>
      <c r="J37" s="178">
        <f t="shared" ref="J37:U37" si="25">SUM(J38:J44)</f>
        <v>1192132.53</v>
      </c>
      <c r="K37" s="178">
        <f t="shared" si="25"/>
        <v>0</v>
      </c>
      <c r="L37" s="178">
        <f t="shared" si="25"/>
        <v>300017.05</v>
      </c>
      <c r="M37" s="178">
        <f t="shared" si="25"/>
        <v>892115.48</v>
      </c>
      <c r="N37" s="178">
        <f t="shared" si="25"/>
        <v>464293.18</v>
      </c>
      <c r="O37" s="178">
        <f t="shared" ref="O37" si="26">SUM(O38:O44)</f>
        <v>0</v>
      </c>
      <c r="P37" s="178">
        <f t="shared" si="25"/>
        <v>0</v>
      </c>
      <c r="Q37" s="178">
        <f t="shared" si="25"/>
        <v>464293.18</v>
      </c>
      <c r="R37" s="178">
        <f t="shared" si="25"/>
        <v>167792.30200000014</v>
      </c>
      <c r="S37" s="178">
        <f t="shared" si="25"/>
        <v>0</v>
      </c>
      <c r="T37" s="178">
        <f t="shared" si="25"/>
        <v>0</v>
      </c>
      <c r="U37" s="178">
        <f t="shared" si="25"/>
        <v>167792.30200000014</v>
      </c>
      <c r="V37" s="178">
        <f t="shared" ref="V37:W37" si="27">SUM(V38:V44)</f>
        <v>1356408.66</v>
      </c>
      <c r="W37" s="178">
        <f t="shared" si="27"/>
        <v>1656425.7099999997</v>
      </c>
    </row>
    <row r="38" spans="2:25" x14ac:dyDescent="0.25">
      <c r="B38" s="159" t="s">
        <v>274</v>
      </c>
      <c r="C38" s="100" t="s">
        <v>28</v>
      </c>
      <c r="D38" s="102" t="s">
        <v>69</v>
      </c>
      <c r="E38" s="169">
        <v>571346.73</v>
      </c>
      <c r="F38" s="169">
        <v>317500</v>
      </c>
      <c r="G38" s="169">
        <v>0</v>
      </c>
      <c r="H38" s="169">
        <v>253846.73</v>
      </c>
      <c r="I38" s="169">
        <v>0</v>
      </c>
      <c r="J38" s="169">
        <v>312102.58</v>
      </c>
      <c r="K38" s="169">
        <f t="shared" ref="K38:K44" si="28">IF(AND(G38&gt;0, J38&gt;0), MIN(J38, G38), 0)</f>
        <v>0</v>
      </c>
      <c r="L38" s="169">
        <f t="shared" ref="L38" si="29">IF(AND(H38&gt;0, J38&gt;0), MIN(H38, J38 - K38), 0)</f>
        <v>253846.73</v>
      </c>
      <c r="M38" s="169">
        <f t="shared" ref="M38" si="30">IF(J38&lt;0, J38, MAX(0, J38 - K38 - L38))</f>
        <v>58255.850000000006</v>
      </c>
      <c r="N38" s="169">
        <v>400292.63</v>
      </c>
      <c r="O38" s="182">
        <f t="shared" ref="O38:O44" si="31">IF(N38&gt;0, MIN(N38, MAX(0, G38 - K38)), 0)</f>
        <v>0</v>
      </c>
      <c r="P38" s="182">
        <f t="shared" ref="P38:P44" si="32">IF((N38-O38)&gt;0, MIN((N38-O38), MAX(0, (H38-O38) - (L38-O38))), 0)</f>
        <v>0</v>
      </c>
      <c r="Q38" s="182">
        <f t="shared" ref="Q38:Q44" si="33">N38-O38-P38</f>
        <v>400292.63</v>
      </c>
      <c r="R38" s="182">
        <f t="shared" ref="R38:R44" si="34">SUM(S38:U38)</f>
        <v>-141048.48000000001</v>
      </c>
      <c r="S38" s="182">
        <f t="shared" ref="S38:S44" si="35">G38-K38-O38</f>
        <v>0</v>
      </c>
      <c r="T38" s="182">
        <f t="shared" ref="T38:T44" si="36">H38-L38-P38</f>
        <v>0</v>
      </c>
      <c r="U38" s="182">
        <f t="shared" ref="U38:U44" si="37">F38-M38-Q38</f>
        <v>-141048.48000000001</v>
      </c>
      <c r="V38" s="182">
        <f t="shared" ref="V38:V44" si="38">M38+Q38</f>
        <v>458548.47999999998</v>
      </c>
      <c r="W38" s="182">
        <f t="shared" ref="W38:W44" si="39">J38+N38</f>
        <v>712395.21</v>
      </c>
      <c r="Y38" s="177"/>
    </row>
    <row r="39" spans="2:25" x14ac:dyDescent="0.25">
      <c r="B39" s="159" t="s">
        <v>275</v>
      </c>
      <c r="C39" s="100" t="s">
        <v>102</v>
      </c>
      <c r="D39" s="102" t="s">
        <v>112</v>
      </c>
      <c r="E39" s="169">
        <v>47000</v>
      </c>
      <c r="F39" s="169">
        <v>47000</v>
      </c>
      <c r="G39" s="169">
        <v>0</v>
      </c>
      <c r="H39" s="169">
        <v>0</v>
      </c>
      <c r="I39" s="169">
        <v>0</v>
      </c>
      <c r="J39" s="169">
        <v>36558.550000000003</v>
      </c>
      <c r="K39" s="169">
        <f t="shared" si="28"/>
        <v>0</v>
      </c>
      <c r="L39" s="169">
        <f t="shared" ref="L39:L44" si="40">IF(AND(H39&gt;0, J39&gt;0), MIN(H39, J39 - K39), 0)</f>
        <v>0</v>
      </c>
      <c r="M39" s="169">
        <f t="shared" ref="M39:M44" si="41">IF(J39&lt;0, J39, MAX(0, J39 - K39 - L39))</f>
        <v>36558.550000000003</v>
      </c>
      <c r="N39" s="169">
        <v>2876.51</v>
      </c>
      <c r="O39" s="182">
        <f t="shared" si="31"/>
        <v>0</v>
      </c>
      <c r="P39" s="182">
        <f t="shared" si="32"/>
        <v>0</v>
      </c>
      <c r="Q39" s="182">
        <f t="shared" si="33"/>
        <v>2876.51</v>
      </c>
      <c r="R39" s="182">
        <f t="shared" si="34"/>
        <v>7564.9399999999969</v>
      </c>
      <c r="S39" s="182">
        <f t="shared" si="35"/>
        <v>0</v>
      </c>
      <c r="T39" s="182">
        <f t="shared" si="36"/>
        <v>0</v>
      </c>
      <c r="U39" s="182">
        <f t="shared" si="37"/>
        <v>7564.9399999999969</v>
      </c>
      <c r="V39" s="182">
        <f t="shared" si="38"/>
        <v>39435.060000000005</v>
      </c>
      <c r="W39" s="182">
        <f t="shared" si="39"/>
        <v>39435.060000000005</v>
      </c>
    </row>
    <row r="40" spans="2:25" x14ac:dyDescent="0.25">
      <c r="B40" s="159" t="s">
        <v>276</v>
      </c>
      <c r="C40" s="100" t="s">
        <v>29</v>
      </c>
      <c r="D40" s="102" t="s">
        <v>1</v>
      </c>
      <c r="E40" s="169">
        <v>799021.28200000001</v>
      </c>
      <c r="F40" s="169">
        <v>754200.96200000006</v>
      </c>
      <c r="G40" s="169">
        <v>0</v>
      </c>
      <c r="H40" s="169">
        <v>44820.32</v>
      </c>
      <c r="I40" s="169">
        <v>0</v>
      </c>
      <c r="J40" s="169">
        <v>541579.56999999995</v>
      </c>
      <c r="K40" s="169">
        <f t="shared" si="28"/>
        <v>0</v>
      </c>
      <c r="L40" s="169">
        <f t="shared" si="40"/>
        <v>44820.32</v>
      </c>
      <c r="M40" s="169">
        <f t="shared" si="41"/>
        <v>496759.24999999994</v>
      </c>
      <c r="N40" s="169">
        <v>0</v>
      </c>
      <c r="O40" s="182">
        <f t="shared" si="31"/>
        <v>0</v>
      </c>
      <c r="P40" s="182">
        <f t="shared" si="32"/>
        <v>0</v>
      </c>
      <c r="Q40" s="182">
        <f t="shared" si="33"/>
        <v>0</v>
      </c>
      <c r="R40" s="182">
        <f t="shared" si="34"/>
        <v>257441.71200000012</v>
      </c>
      <c r="S40" s="182">
        <f t="shared" si="35"/>
        <v>0</v>
      </c>
      <c r="T40" s="182">
        <f t="shared" si="36"/>
        <v>0</v>
      </c>
      <c r="U40" s="182">
        <f t="shared" si="37"/>
        <v>257441.71200000012</v>
      </c>
      <c r="V40" s="182">
        <f t="shared" si="38"/>
        <v>496759.24999999994</v>
      </c>
      <c r="W40" s="182">
        <f t="shared" si="39"/>
        <v>541579.56999999995</v>
      </c>
    </row>
    <row r="41" spans="2:25" x14ac:dyDescent="0.25">
      <c r="B41" s="159" t="s">
        <v>277</v>
      </c>
      <c r="C41" s="100" t="s">
        <v>30</v>
      </c>
      <c r="D41" s="102" t="s">
        <v>8</v>
      </c>
      <c r="E41" s="169">
        <v>197183.33333333334</v>
      </c>
      <c r="F41" s="169">
        <v>195833.33333333334</v>
      </c>
      <c r="G41" s="169">
        <v>0</v>
      </c>
      <c r="H41" s="169">
        <v>1350</v>
      </c>
      <c r="I41" s="169">
        <v>0</v>
      </c>
      <c r="J41" s="169">
        <v>98624.06</v>
      </c>
      <c r="K41" s="169">
        <f t="shared" si="28"/>
        <v>0</v>
      </c>
      <c r="L41" s="169">
        <f t="shared" si="40"/>
        <v>1350</v>
      </c>
      <c r="M41" s="169">
        <f t="shared" si="41"/>
        <v>97274.06</v>
      </c>
      <c r="N41" s="169">
        <v>59349.36</v>
      </c>
      <c r="O41" s="182">
        <f t="shared" si="31"/>
        <v>0</v>
      </c>
      <c r="P41" s="182">
        <f t="shared" si="32"/>
        <v>0</v>
      </c>
      <c r="Q41" s="182">
        <f t="shared" si="33"/>
        <v>59349.36</v>
      </c>
      <c r="R41" s="182">
        <f t="shared" si="34"/>
        <v>39209.913333333345</v>
      </c>
      <c r="S41" s="182">
        <f t="shared" si="35"/>
        <v>0</v>
      </c>
      <c r="T41" s="182">
        <f t="shared" si="36"/>
        <v>0</v>
      </c>
      <c r="U41" s="182">
        <f t="shared" si="37"/>
        <v>39209.913333333345</v>
      </c>
      <c r="V41" s="182">
        <f t="shared" si="38"/>
        <v>156623.41999999998</v>
      </c>
      <c r="W41" s="182">
        <f t="shared" si="39"/>
        <v>157973.41999999998</v>
      </c>
    </row>
    <row r="42" spans="2:25" x14ac:dyDescent="0.25">
      <c r="B42" s="159" t="s">
        <v>278</v>
      </c>
      <c r="C42" s="100" t="s">
        <v>31</v>
      </c>
      <c r="D42" s="102" t="s">
        <v>9</v>
      </c>
      <c r="E42" s="169">
        <v>50000</v>
      </c>
      <c r="F42" s="169">
        <v>50000</v>
      </c>
      <c r="G42" s="169">
        <v>0</v>
      </c>
      <c r="H42" s="169">
        <v>0</v>
      </c>
      <c r="I42" s="169">
        <v>0</v>
      </c>
      <c r="J42" s="169">
        <v>43457.72</v>
      </c>
      <c r="K42" s="169">
        <f t="shared" si="28"/>
        <v>0</v>
      </c>
      <c r="L42" s="169">
        <f t="shared" si="40"/>
        <v>0</v>
      </c>
      <c r="M42" s="169">
        <f t="shared" si="41"/>
        <v>43457.72</v>
      </c>
      <c r="N42" s="169">
        <v>0</v>
      </c>
      <c r="O42" s="182">
        <f t="shared" si="31"/>
        <v>0</v>
      </c>
      <c r="P42" s="182">
        <f t="shared" si="32"/>
        <v>0</v>
      </c>
      <c r="Q42" s="182">
        <f t="shared" si="33"/>
        <v>0</v>
      </c>
      <c r="R42" s="182">
        <f t="shared" si="34"/>
        <v>6542.2799999999988</v>
      </c>
      <c r="S42" s="182">
        <f t="shared" si="35"/>
        <v>0</v>
      </c>
      <c r="T42" s="182">
        <f t="shared" si="36"/>
        <v>0</v>
      </c>
      <c r="U42" s="182">
        <f t="shared" si="37"/>
        <v>6542.2799999999988</v>
      </c>
      <c r="V42" s="182">
        <f t="shared" si="38"/>
        <v>43457.72</v>
      </c>
      <c r="W42" s="182">
        <f t="shared" si="39"/>
        <v>43457.72</v>
      </c>
    </row>
    <row r="43" spans="2:25" x14ac:dyDescent="0.25">
      <c r="B43" s="159" t="s">
        <v>277</v>
      </c>
      <c r="C43" s="100" t="s">
        <v>32</v>
      </c>
      <c r="D43" s="102" t="s">
        <v>10</v>
      </c>
      <c r="E43" s="169">
        <v>156666.66666666666</v>
      </c>
      <c r="F43" s="169">
        <v>156666.66666666666</v>
      </c>
      <c r="G43" s="169">
        <v>0</v>
      </c>
      <c r="H43" s="169">
        <v>0</v>
      </c>
      <c r="I43" s="169">
        <v>0</v>
      </c>
      <c r="J43" s="169">
        <v>159810.04999999999</v>
      </c>
      <c r="K43" s="169">
        <f t="shared" si="28"/>
        <v>0</v>
      </c>
      <c r="L43" s="169">
        <f t="shared" si="40"/>
        <v>0</v>
      </c>
      <c r="M43" s="169">
        <f t="shared" si="41"/>
        <v>159810.04999999999</v>
      </c>
      <c r="N43" s="169">
        <v>1774.68</v>
      </c>
      <c r="O43" s="182">
        <f t="shared" si="31"/>
        <v>0</v>
      </c>
      <c r="P43" s="182">
        <f t="shared" si="32"/>
        <v>0</v>
      </c>
      <c r="Q43" s="182">
        <f t="shared" si="33"/>
        <v>1774.68</v>
      </c>
      <c r="R43" s="182">
        <f t="shared" si="34"/>
        <v>-4918.0633333333317</v>
      </c>
      <c r="S43" s="182">
        <f t="shared" si="35"/>
        <v>0</v>
      </c>
      <c r="T43" s="182">
        <f t="shared" si="36"/>
        <v>0</v>
      </c>
      <c r="U43" s="182">
        <f t="shared" si="37"/>
        <v>-4918.0633333333317</v>
      </c>
      <c r="V43" s="182">
        <f t="shared" si="38"/>
        <v>161584.72999999998</v>
      </c>
      <c r="W43" s="182">
        <f t="shared" si="39"/>
        <v>161584.72999999998</v>
      </c>
    </row>
    <row r="44" spans="2:25" x14ac:dyDescent="0.25">
      <c r="B44" s="159" t="s">
        <v>279</v>
      </c>
      <c r="C44" s="100" t="s">
        <v>33</v>
      </c>
      <c r="D44" s="102" t="s">
        <v>11</v>
      </c>
      <c r="E44" s="169">
        <v>3000</v>
      </c>
      <c r="F44" s="169">
        <v>3000</v>
      </c>
      <c r="G44" s="169">
        <v>0</v>
      </c>
      <c r="H44" s="169">
        <v>0</v>
      </c>
      <c r="I44" s="169">
        <v>0</v>
      </c>
      <c r="J44" s="169">
        <v>0</v>
      </c>
      <c r="K44" s="169">
        <f t="shared" si="28"/>
        <v>0</v>
      </c>
      <c r="L44" s="169">
        <f t="shared" si="40"/>
        <v>0</v>
      </c>
      <c r="M44" s="169">
        <f t="shared" si="41"/>
        <v>0</v>
      </c>
      <c r="N44" s="169">
        <v>0</v>
      </c>
      <c r="O44" s="182">
        <f t="shared" si="31"/>
        <v>0</v>
      </c>
      <c r="P44" s="182">
        <f t="shared" si="32"/>
        <v>0</v>
      </c>
      <c r="Q44" s="182">
        <f t="shared" si="33"/>
        <v>0</v>
      </c>
      <c r="R44" s="182">
        <f t="shared" si="34"/>
        <v>3000</v>
      </c>
      <c r="S44" s="182">
        <f t="shared" si="35"/>
        <v>0</v>
      </c>
      <c r="T44" s="182">
        <f t="shared" si="36"/>
        <v>0</v>
      </c>
      <c r="U44" s="182">
        <f t="shared" si="37"/>
        <v>3000</v>
      </c>
      <c r="V44" s="182">
        <f t="shared" si="38"/>
        <v>0</v>
      </c>
      <c r="W44" s="182">
        <f t="shared" si="39"/>
        <v>0</v>
      </c>
    </row>
    <row r="45" spans="2:25" x14ac:dyDescent="0.25">
      <c r="C45" s="86"/>
      <c r="D45" s="138"/>
      <c r="E45" s="173"/>
      <c r="F45" s="173"/>
      <c r="G45" s="173"/>
      <c r="H45" s="173"/>
      <c r="I45" s="173"/>
      <c r="J45" s="176"/>
      <c r="K45" s="176"/>
      <c r="L45" s="176"/>
      <c r="M45" s="176"/>
      <c r="N45" s="177"/>
      <c r="O45" s="177"/>
      <c r="P45" s="177"/>
      <c r="Q45" s="177"/>
      <c r="R45" s="177"/>
      <c r="S45" s="177"/>
      <c r="T45" s="177"/>
      <c r="U45" s="177"/>
      <c r="V45" s="177"/>
      <c r="W45" s="177"/>
    </row>
    <row r="46" spans="2:25" s="139" customFormat="1" x14ac:dyDescent="0.25">
      <c r="B46" s="162"/>
      <c r="C46" s="104"/>
      <c r="D46" s="101" t="s">
        <v>113</v>
      </c>
      <c r="E46" s="178">
        <f t="shared" ref="E46:I46" si="42">SUM(E47:E51)</f>
        <v>1199903.4312499999</v>
      </c>
      <c r="F46" s="178">
        <f t="shared" si="42"/>
        <v>1197998.4312499999</v>
      </c>
      <c r="G46" s="178">
        <f t="shared" si="42"/>
        <v>0</v>
      </c>
      <c r="H46" s="178">
        <f t="shared" si="42"/>
        <v>1905</v>
      </c>
      <c r="I46" s="178">
        <f t="shared" si="42"/>
        <v>0</v>
      </c>
      <c r="J46" s="178">
        <f t="shared" ref="J46:U46" si="43">SUM(J47:J51)</f>
        <v>919574.23</v>
      </c>
      <c r="K46" s="178">
        <f t="shared" si="43"/>
        <v>0</v>
      </c>
      <c r="L46" s="178">
        <f t="shared" si="43"/>
        <v>1905</v>
      </c>
      <c r="M46" s="178">
        <f t="shared" si="43"/>
        <v>917669.23</v>
      </c>
      <c r="N46" s="178">
        <f t="shared" si="43"/>
        <v>156121</v>
      </c>
      <c r="O46" s="178">
        <f t="shared" ref="O46" si="44">SUM(O47:O51)</f>
        <v>0</v>
      </c>
      <c r="P46" s="178">
        <f t="shared" si="43"/>
        <v>0</v>
      </c>
      <c r="Q46" s="178">
        <f t="shared" si="43"/>
        <v>156121</v>
      </c>
      <c r="R46" s="178">
        <f t="shared" si="43"/>
        <v>124208.20125000001</v>
      </c>
      <c r="S46" s="178">
        <f t="shared" si="43"/>
        <v>0</v>
      </c>
      <c r="T46" s="178">
        <f t="shared" si="43"/>
        <v>0</v>
      </c>
      <c r="U46" s="178">
        <f t="shared" si="43"/>
        <v>124208.20125000001</v>
      </c>
      <c r="V46" s="178">
        <f t="shared" ref="V46:W46" si="45">SUM(V47:V51)</f>
        <v>1073790.23</v>
      </c>
      <c r="W46" s="178">
        <f t="shared" si="45"/>
        <v>1075695.23</v>
      </c>
    </row>
    <row r="47" spans="2:25" x14ac:dyDescent="0.25">
      <c r="B47" s="159" t="s">
        <v>280</v>
      </c>
      <c r="C47" s="100" t="s">
        <v>34</v>
      </c>
      <c r="D47" s="105" t="s">
        <v>194</v>
      </c>
      <c r="E47" s="169">
        <v>354765.43125000002</v>
      </c>
      <c r="F47" s="169">
        <v>352860.43125000002</v>
      </c>
      <c r="G47" s="169">
        <v>0</v>
      </c>
      <c r="H47" s="169">
        <v>1905</v>
      </c>
      <c r="I47" s="169">
        <v>0</v>
      </c>
      <c r="J47" s="169">
        <v>245917.69</v>
      </c>
      <c r="K47" s="169">
        <f>IF(AND(G47&gt;0, J47&gt;0), MIN(J47, G47), 0)</f>
        <v>0</v>
      </c>
      <c r="L47" s="169">
        <f t="shared" ref="L47" si="46">IF(AND(H47&gt;0, J47&gt;0), MIN(H47, J47 - K47), 0)</f>
        <v>1905</v>
      </c>
      <c r="M47" s="169">
        <f t="shared" ref="M47" si="47">IF(J47&lt;0, J47, MAX(0, J47 - K47 - L47))</f>
        <v>244012.69</v>
      </c>
      <c r="N47" s="169">
        <v>5191</v>
      </c>
      <c r="O47" s="182">
        <f>IF(N47&gt;0, MIN(N47, MAX(0, G47 - K47)), 0)</f>
        <v>0</v>
      </c>
      <c r="P47" s="182">
        <f t="shared" ref="P47:P51" si="48">IF((N47-O47)&gt;0, MIN((N47-O47), MAX(0, (H47-O47) - (L47-O47))), 0)</f>
        <v>0</v>
      </c>
      <c r="Q47" s="182">
        <f t="shared" ref="Q47:Q51" si="49">N47-O47-P47</f>
        <v>5191</v>
      </c>
      <c r="R47" s="182">
        <f t="shared" ref="R47:R51" si="50">SUM(S47:U47)</f>
        <v>103656.74125000002</v>
      </c>
      <c r="S47" s="182">
        <f>G47-K47-O47</f>
        <v>0</v>
      </c>
      <c r="T47" s="182">
        <f t="shared" ref="T47:T51" si="51">H47-L47-P47</f>
        <v>0</v>
      </c>
      <c r="U47" s="182">
        <f>F47-M47-Q47</f>
        <v>103656.74125000002</v>
      </c>
      <c r="V47" s="182">
        <f t="shared" ref="V47:V51" si="52">M47+Q47</f>
        <v>249203.69</v>
      </c>
      <c r="W47" s="182">
        <f>J47+N47</f>
        <v>251108.69</v>
      </c>
    </row>
    <row r="48" spans="2:25" x14ac:dyDescent="0.25">
      <c r="B48" s="159" t="s">
        <v>281</v>
      </c>
      <c r="C48" s="100" t="s">
        <v>34</v>
      </c>
      <c r="D48" s="105" t="s">
        <v>138</v>
      </c>
      <c r="E48" s="169">
        <v>27488</v>
      </c>
      <c r="F48" s="169">
        <v>27488</v>
      </c>
      <c r="G48" s="169">
        <v>0</v>
      </c>
      <c r="H48" s="169">
        <v>0</v>
      </c>
      <c r="I48" s="169">
        <v>0</v>
      </c>
      <c r="J48" s="169">
        <v>24033.599999999999</v>
      </c>
      <c r="K48" s="169">
        <f>IF(AND(G48&gt;0, J48&gt;0), MIN(J48, G48), 0)</f>
        <v>0</v>
      </c>
      <c r="L48" s="169">
        <f t="shared" ref="L48:L51" si="53">IF(AND(H48&gt;0, J48&gt;0), MIN(H48, J48 - K48), 0)</f>
        <v>0</v>
      </c>
      <c r="M48" s="169">
        <f t="shared" ref="M48:M51" si="54">IF(J48&lt;0, J48, MAX(0, J48 - K48 - L48))</f>
        <v>24033.599999999999</v>
      </c>
      <c r="N48" s="169">
        <v>930</v>
      </c>
      <c r="O48" s="182">
        <f>IF(N48&gt;0, MIN(N48, MAX(0, G48 - K48)), 0)</f>
        <v>0</v>
      </c>
      <c r="P48" s="182">
        <f t="shared" si="48"/>
        <v>0</v>
      </c>
      <c r="Q48" s="182">
        <f t="shared" si="49"/>
        <v>930</v>
      </c>
      <c r="R48" s="182">
        <f t="shared" si="50"/>
        <v>2524.4000000000015</v>
      </c>
      <c r="S48" s="182">
        <f>G48-K48-O48</f>
        <v>0</v>
      </c>
      <c r="T48" s="182">
        <f t="shared" si="51"/>
        <v>0</v>
      </c>
      <c r="U48" s="182">
        <f>F48-M48-Q48</f>
        <v>2524.4000000000015</v>
      </c>
      <c r="V48" s="182">
        <f t="shared" si="52"/>
        <v>24963.599999999999</v>
      </c>
      <c r="W48" s="182">
        <f>J48+N48</f>
        <v>24963.599999999999</v>
      </c>
    </row>
    <row r="49" spans="2:23" x14ac:dyDescent="0.25">
      <c r="B49" s="159" t="s">
        <v>282</v>
      </c>
      <c r="C49" s="100" t="s">
        <v>34</v>
      </c>
      <c r="D49" s="105" t="s">
        <v>201</v>
      </c>
      <c r="E49" s="169">
        <v>436234</v>
      </c>
      <c r="F49" s="169">
        <v>436234</v>
      </c>
      <c r="G49" s="169">
        <v>0</v>
      </c>
      <c r="H49" s="169">
        <v>0</v>
      </c>
      <c r="I49" s="169">
        <v>0</v>
      </c>
      <c r="J49" s="169">
        <v>283300</v>
      </c>
      <c r="K49" s="169">
        <f>IF(AND(G49&gt;0, J49&gt;0), MIN(J49, G49), 0)</f>
        <v>0</v>
      </c>
      <c r="L49" s="169">
        <f t="shared" si="53"/>
        <v>0</v>
      </c>
      <c r="M49" s="169">
        <f t="shared" si="54"/>
        <v>283300</v>
      </c>
      <c r="N49" s="169">
        <v>150000</v>
      </c>
      <c r="O49" s="182">
        <f>IF(N49&gt;0, MIN(N49, MAX(0, G49 - K49)), 0)</f>
        <v>0</v>
      </c>
      <c r="P49" s="182">
        <f t="shared" si="48"/>
        <v>0</v>
      </c>
      <c r="Q49" s="182">
        <f t="shared" si="49"/>
        <v>150000</v>
      </c>
      <c r="R49" s="182">
        <f t="shared" si="50"/>
        <v>2934</v>
      </c>
      <c r="S49" s="182">
        <f>G49-K49-O49</f>
        <v>0</v>
      </c>
      <c r="T49" s="182">
        <f t="shared" si="51"/>
        <v>0</v>
      </c>
      <c r="U49" s="182">
        <f>F49-M49-Q49</f>
        <v>2934</v>
      </c>
      <c r="V49" s="182">
        <f t="shared" si="52"/>
        <v>433300</v>
      </c>
      <c r="W49" s="182">
        <f>J49+N49</f>
        <v>433300</v>
      </c>
    </row>
    <row r="50" spans="2:23" x14ac:dyDescent="0.25">
      <c r="B50" s="159" t="s">
        <v>283</v>
      </c>
      <c r="C50" s="100" t="s">
        <v>34</v>
      </c>
      <c r="D50" s="105" t="s">
        <v>139</v>
      </c>
      <c r="E50" s="169">
        <v>342813</v>
      </c>
      <c r="F50" s="169">
        <v>342813</v>
      </c>
      <c r="G50" s="169">
        <v>0</v>
      </c>
      <c r="H50" s="169">
        <v>0</v>
      </c>
      <c r="I50" s="169">
        <v>0</v>
      </c>
      <c r="J50" s="169">
        <v>325963.44</v>
      </c>
      <c r="K50" s="169">
        <f>IF(AND(G50&gt;0, J50&gt;0), MIN(J50, G50), 0)</f>
        <v>0</v>
      </c>
      <c r="L50" s="169">
        <f t="shared" si="53"/>
        <v>0</v>
      </c>
      <c r="M50" s="169">
        <f t="shared" si="54"/>
        <v>325963.44</v>
      </c>
      <c r="N50" s="169">
        <v>0</v>
      </c>
      <c r="O50" s="182">
        <f>IF(N50&gt;0, MIN(N50, MAX(0, G50 - K50)), 0)</f>
        <v>0</v>
      </c>
      <c r="P50" s="182">
        <f t="shared" si="48"/>
        <v>0</v>
      </c>
      <c r="Q50" s="182">
        <f t="shared" si="49"/>
        <v>0</v>
      </c>
      <c r="R50" s="182">
        <f t="shared" si="50"/>
        <v>16849.559999999998</v>
      </c>
      <c r="S50" s="182">
        <f>G50-K50-O50</f>
        <v>0</v>
      </c>
      <c r="T50" s="182">
        <f t="shared" si="51"/>
        <v>0</v>
      </c>
      <c r="U50" s="182">
        <f>F50-M50-Q50</f>
        <v>16849.559999999998</v>
      </c>
      <c r="V50" s="182">
        <f t="shared" si="52"/>
        <v>325963.44</v>
      </c>
      <c r="W50" s="182">
        <f>J50+N50</f>
        <v>325963.44</v>
      </c>
    </row>
    <row r="51" spans="2:23" x14ac:dyDescent="0.25">
      <c r="B51" s="159" t="s">
        <v>284</v>
      </c>
      <c r="C51" s="100" t="s">
        <v>34</v>
      </c>
      <c r="D51" s="105" t="s">
        <v>109</v>
      </c>
      <c r="E51" s="169">
        <v>38603</v>
      </c>
      <c r="F51" s="169">
        <v>38603</v>
      </c>
      <c r="G51" s="169">
        <v>0</v>
      </c>
      <c r="H51" s="169">
        <v>0</v>
      </c>
      <c r="I51" s="169">
        <v>0</v>
      </c>
      <c r="J51" s="169">
        <v>40359.5</v>
      </c>
      <c r="K51" s="169">
        <f>IF(AND(G51&gt;0, J51&gt;0), MIN(J51, G51), 0)</f>
        <v>0</v>
      </c>
      <c r="L51" s="169">
        <f t="shared" si="53"/>
        <v>0</v>
      </c>
      <c r="M51" s="169">
        <f t="shared" si="54"/>
        <v>40359.5</v>
      </c>
      <c r="N51" s="169">
        <v>0</v>
      </c>
      <c r="O51" s="182">
        <f>IF(N51&gt;0, MIN(N51, MAX(0, G51 - K51)), 0)</f>
        <v>0</v>
      </c>
      <c r="P51" s="182">
        <f t="shared" si="48"/>
        <v>0</v>
      </c>
      <c r="Q51" s="182">
        <f t="shared" si="49"/>
        <v>0</v>
      </c>
      <c r="R51" s="182">
        <f t="shared" si="50"/>
        <v>-1756.5</v>
      </c>
      <c r="S51" s="182">
        <f>G51-K51-O51</f>
        <v>0</v>
      </c>
      <c r="T51" s="182">
        <f t="shared" si="51"/>
        <v>0</v>
      </c>
      <c r="U51" s="182">
        <f>F51-M51-Q51</f>
        <v>-1756.5</v>
      </c>
      <c r="V51" s="182">
        <f t="shared" si="52"/>
        <v>40359.5</v>
      </c>
      <c r="W51" s="182">
        <f>J51+N51</f>
        <v>40359.5</v>
      </c>
    </row>
    <row r="52" spans="2:23" x14ac:dyDescent="0.25">
      <c r="C52" s="86"/>
      <c r="D52" s="138"/>
      <c r="E52" s="173"/>
      <c r="F52" s="173"/>
      <c r="G52" s="173"/>
      <c r="H52" s="173"/>
      <c r="I52" s="173"/>
      <c r="J52" s="176"/>
      <c r="K52" s="176"/>
      <c r="L52" s="176"/>
      <c r="M52" s="176"/>
      <c r="N52" s="177"/>
      <c r="O52" s="177"/>
      <c r="P52" s="177"/>
      <c r="Q52" s="177"/>
      <c r="R52" s="177"/>
      <c r="S52" s="177"/>
      <c r="T52" s="177"/>
      <c r="U52" s="177"/>
      <c r="V52" s="177"/>
      <c r="W52" s="177"/>
    </row>
    <row r="53" spans="2:23" s="139" customFormat="1" x14ac:dyDescent="0.25">
      <c r="B53" s="162"/>
      <c r="C53" s="104"/>
      <c r="D53" s="101" t="s">
        <v>115</v>
      </c>
      <c r="E53" s="178">
        <f t="shared" ref="E53:I53" si="55">SUM(E54:E64)</f>
        <v>2020056.1800000002</v>
      </c>
      <c r="F53" s="178">
        <f t="shared" si="55"/>
        <v>1610000</v>
      </c>
      <c r="G53" s="178">
        <f t="shared" si="55"/>
        <v>0</v>
      </c>
      <c r="H53" s="178">
        <f t="shared" si="55"/>
        <v>410056.18</v>
      </c>
      <c r="I53" s="178">
        <f t="shared" si="55"/>
        <v>0</v>
      </c>
      <c r="J53" s="178">
        <f t="shared" ref="J53:U53" si="56">SUM(J54:J64)</f>
        <v>1035178.27</v>
      </c>
      <c r="K53" s="178">
        <f t="shared" si="56"/>
        <v>0</v>
      </c>
      <c r="L53" s="178">
        <f t="shared" si="56"/>
        <v>282637.83</v>
      </c>
      <c r="M53" s="178">
        <f t="shared" si="56"/>
        <v>752540.44000000006</v>
      </c>
      <c r="N53" s="178">
        <f t="shared" si="56"/>
        <v>976758.91999999993</v>
      </c>
      <c r="O53" s="178">
        <f t="shared" ref="O53" si="57">SUM(O54:O64)</f>
        <v>0</v>
      </c>
      <c r="P53" s="178">
        <f t="shared" si="56"/>
        <v>115756.35</v>
      </c>
      <c r="Q53" s="178">
        <f t="shared" si="56"/>
        <v>861002.57</v>
      </c>
      <c r="R53" s="178">
        <f t="shared" si="56"/>
        <v>8118.9899999999907</v>
      </c>
      <c r="S53" s="178">
        <f t="shared" si="56"/>
        <v>0</v>
      </c>
      <c r="T53" s="178">
        <f t="shared" si="56"/>
        <v>11662</v>
      </c>
      <c r="U53" s="178">
        <f t="shared" si="56"/>
        <v>-3543.0100000000093</v>
      </c>
      <c r="V53" s="178">
        <f t="shared" ref="V53:W53" si="58">SUM(V54:V64)</f>
        <v>1613543.01</v>
      </c>
      <c r="W53" s="178">
        <f t="shared" si="58"/>
        <v>2011937.19</v>
      </c>
    </row>
    <row r="54" spans="2:23" x14ac:dyDescent="0.25">
      <c r="B54" s="159" t="s">
        <v>285</v>
      </c>
      <c r="C54" s="100" t="s">
        <v>35</v>
      </c>
      <c r="D54" s="102" t="s">
        <v>42</v>
      </c>
      <c r="E54" s="169">
        <v>352631.52</v>
      </c>
      <c r="F54" s="169">
        <v>200000</v>
      </c>
      <c r="G54" s="169">
        <v>0</v>
      </c>
      <c r="H54" s="169">
        <v>152631.51999999999</v>
      </c>
      <c r="I54" s="169">
        <v>0</v>
      </c>
      <c r="J54" s="169">
        <v>185585.88</v>
      </c>
      <c r="K54" s="169">
        <f t="shared" ref="K54:K64" si="59">IF(AND(G54&gt;0, J54&gt;0), MIN(J54, G54), 0)</f>
        <v>0</v>
      </c>
      <c r="L54" s="169">
        <f t="shared" ref="L54" si="60">IF(AND(H54&gt;0, J54&gt;0), MIN(H54, J54 - K54), 0)</f>
        <v>152631.51999999999</v>
      </c>
      <c r="M54" s="169">
        <f t="shared" ref="M54" si="61">IF(J54&lt;0, J54, MAX(0, J54 - K54 - L54))</f>
        <v>32954.360000000015</v>
      </c>
      <c r="N54" s="169">
        <v>14812.18</v>
      </c>
      <c r="O54" s="182">
        <f t="shared" ref="O54:O64" si="62">IF(N54&gt;0, MIN(N54, MAX(0, G54 - K54)), 0)</f>
        <v>0</v>
      </c>
      <c r="P54" s="182">
        <f t="shared" ref="P54:P64" si="63">IF((N54-O54)&gt;0, MIN((N54-O54), MAX(0, (H54-O54) - (L54-O54))), 0)</f>
        <v>0</v>
      </c>
      <c r="Q54" s="182">
        <f t="shared" ref="Q54:Q64" si="64">N54-O54-P54</f>
        <v>14812.18</v>
      </c>
      <c r="R54" s="182">
        <f t="shared" ref="R54:R64" si="65">SUM(S54:U54)</f>
        <v>152233.46</v>
      </c>
      <c r="S54" s="182">
        <f t="shared" ref="S54:S64" si="66">G54-K54-O54</f>
        <v>0</v>
      </c>
      <c r="T54" s="182">
        <f t="shared" ref="T54:T64" si="67">H54-L54-P54</f>
        <v>0</v>
      </c>
      <c r="U54" s="182">
        <f t="shared" ref="U54:U64" si="68">F54-M54-Q54</f>
        <v>152233.46</v>
      </c>
      <c r="V54" s="182">
        <f t="shared" ref="V54:V64" si="69">M54+Q54</f>
        <v>47766.540000000015</v>
      </c>
      <c r="W54" s="182">
        <f t="shared" ref="W54:W64" si="70">J54+N54</f>
        <v>200398.06</v>
      </c>
    </row>
    <row r="55" spans="2:23" x14ac:dyDescent="0.25">
      <c r="B55" s="159" t="s">
        <v>286</v>
      </c>
      <c r="C55" s="100" t="s">
        <v>35</v>
      </c>
      <c r="D55" s="102" t="s">
        <v>157</v>
      </c>
      <c r="E55" s="169">
        <v>110000</v>
      </c>
      <c r="F55" s="169">
        <v>110000</v>
      </c>
      <c r="G55" s="169">
        <v>0</v>
      </c>
      <c r="H55" s="169">
        <v>0</v>
      </c>
      <c r="I55" s="169">
        <v>0</v>
      </c>
      <c r="J55" s="169">
        <v>141894.64000000001</v>
      </c>
      <c r="K55" s="169">
        <f t="shared" si="59"/>
        <v>0</v>
      </c>
      <c r="L55" s="169">
        <f t="shared" ref="L55:L64" si="71">IF(AND(H55&gt;0, J55&gt;0), MIN(H55, J55 - K55), 0)</f>
        <v>0</v>
      </c>
      <c r="M55" s="169">
        <f t="shared" ref="M55:M64" si="72">IF(J55&lt;0, J55, MAX(0, J55 - K55 - L55))</f>
        <v>141894.64000000001</v>
      </c>
      <c r="N55" s="169">
        <v>5619.78</v>
      </c>
      <c r="O55" s="182">
        <f t="shared" si="62"/>
        <v>0</v>
      </c>
      <c r="P55" s="182">
        <f t="shared" si="63"/>
        <v>0</v>
      </c>
      <c r="Q55" s="182">
        <f t="shared" si="64"/>
        <v>5619.78</v>
      </c>
      <c r="R55" s="182">
        <f t="shared" si="65"/>
        <v>-37514.420000000013</v>
      </c>
      <c r="S55" s="182">
        <f t="shared" si="66"/>
        <v>0</v>
      </c>
      <c r="T55" s="182">
        <f t="shared" si="67"/>
        <v>0</v>
      </c>
      <c r="U55" s="182">
        <f t="shared" si="68"/>
        <v>-37514.420000000013</v>
      </c>
      <c r="V55" s="182">
        <f t="shared" si="69"/>
        <v>147514.42000000001</v>
      </c>
      <c r="W55" s="182">
        <f t="shared" si="70"/>
        <v>147514.42000000001</v>
      </c>
    </row>
    <row r="56" spans="2:23" x14ac:dyDescent="0.25">
      <c r="B56" s="159" t="s">
        <v>287</v>
      </c>
      <c r="C56" s="100" t="s">
        <v>35</v>
      </c>
      <c r="D56" s="102" t="s">
        <v>43</v>
      </c>
      <c r="E56" s="169">
        <v>11662</v>
      </c>
      <c r="F56" s="169">
        <v>0</v>
      </c>
      <c r="G56" s="169">
        <v>0</v>
      </c>
      <c r="H56" s="169">
        <v>11662</v>
      </c>
      <c r="I56" s="169">
        <v>0</v>
      </c>
      <c r="J56" s="169">
        <v>0</v>
      </c>
      <c r="K56" s="169">
        <f t="shared" si="59"/>
        <v>0</v>
      </c>
      <c r="L56" s="169">
        <f t="shared" si="71"/>
        <v>0</v>
      </c>
      <c r="M56" s="169">
        <f t="shared" si="72"/>
        <v>0</v>
      </c>
      <c r="N56" s="169">
        <v>0</v>
      </c>
      <c r="O56" s="182">
        <f t="shared" si="62"/>
        <v>0</v>
      </c>
      <c r="P56" s="182">
        <f t="shared" si="63"/>
        <v>0</v>
      </c>
      <c r="Q56" s="182">
        <f t="shared" si="64"/>
        <v>0</v>
      </c>
      <c r="R56" s="182">
        <f t="shared" si="65"/>
        <v>11662</v>
      </c>
      <c r="S56" s="182">
        <f t="shared" si="66"/>
        <v>0</v>
      </c>
      <c r="T56" s="182">
        <f t="shared" si="67"/>
        <v>11662</v>
      </c>
      <c r="U56" s="182">
        <f t="shared" si="68"/>
        <v>0</v>
      </c>
      <c r="V56" s="182">
        <f t="shared" si="69"/>
        <v>0</v>
      </c>
      <c r="W56" s="182">
        <f t="shared" si="70"/>
        <v>0</v>
      </c>
    </row>
    <row r="57" spans="2:23" x14ac:dyDescent="0.25">
      <c r="B57" s="159" t="s">
        <v>288</v>
      </c>
      <c r="C57" s="100" t="s">
        <v>35</v>
      </c>
      <c r="D57" s="102" t="s">
        <v>44</v>
      </c>
      <c r="E57" s="169">
        <v>50000</v>
      </c>
      <c r="F57" s="169">
        <v>50000</v>
      </c>
      <c r="G57" s="169">
        <v>0</v>
      </c>
      <c r="H57" s="169">
        <v>0</v>
      </c>
      <c r="I57" s="169">
        <v>0</v>
      </c>
      <c r="J57" s="169">
        <v>46427.85</v>
      </c>
      <c r="K57" s="169">
        <f t="shared" si="59"/>
        <v>0</v>
      </c>
      <c r="L57" s="169">
        <f t="shared" si="71"/>
        <v>0</v>
      </c>
      <c r="M57" s="169">
        <f t="shared" si="72"/>
        <v>46427.85</v>
      </c>
      <c r="N57" s="169">
        <v>0</v>
      </c>
      <c r="O57" s="182">
        <f t="shared" si="62"/>
        <v>0</v>
      </c>
      <c r="P57" s="182">
        <f t="shared" si="63"/>
        <v>0</v>
      </c>
      <c r="Q57" s="182">
        <f t="shared" si="64"/>
        <v>0</v>
      </c>
      <c r="R57" s="182">
        <f t="shared" si="65"/>
        <v>3572.1500000000015</v>
      </c>
      <c r="S57" s="182">
        <f t="shared" si="66"/>
        <v>0</v>
      </c>
      <c r="T57" s="182">
        <f t="shared" si="67"/>
        <v>0</v>
      </c>
      <c r="U57" s="182">
        <f t="shared" si="68"/>
        <v>3572.1500000000015</v>
      </c>
      <c r="V57" s="182">
        <f t="shared" si="69"/>
        <v>46427.85</v>
      </c>
      <c r="W57" s="182">
        <f t="shared" si="70"/>
        <v>46427.85</v>
      </c>
    </row>
    <row r="58" spans="2:23" x14ac:dyDescent="0.25">
      <c r="B58" s="159" t="s">
        <v>289</v>
      </c>
      <c r="C58" s="100" t="s">
        <v>35</v>
      </c>
      <c r="D58" s="102" t="s">
        <v>57</v>
      </c>
      <c r="E58" s="169">
        <v>25000</v>
      </c>
      <c r="F58" s="169">
        <v>25000</v>
      </c>
      <c r="G58" s="169">
        <v>0</v>
      </c>
      <c r="H58" s="169">
        <v>0</v>
      </c>
      <c r="I58" s="169">
        <v>0</v>
      </c>
      <c r="J58" s="169">
        <v>0</v>
      </c>
      <c r="K58" s="169">
        <f t="shared" si="59"/>
        <v>0</v>
      </c>
      <c r="L58" s="169">
        <f t="shared" si="71"/>
        <v>0</v>
      </c>
      <c r="M58" s="169">
        <f t="shared" si="72"/>
        <v>0</v>
      </c>
      <c r="N58" s="169">
        <v>0</v>
      </c>
      <c r="O58" s="182">
        <f t="shared" si="62"/>
        <v>0</v>
      </c>
      <c r="P58" s="182">
        <f t="shared" si="63"/>
        <v>0</v>
      </c>
      <c r="Q58" s="182">
        <f t="shared" si="64"/>
        <v>0</v>
      </c>
      <c r="R58" s="182">
        <f t="shared" si="65"/>
        <v>25000</v>
      </c>
      <c r="S58" s="182">
        <f t="shared" si="66"/>
        <v>0</v>
      </c>
      <c r="T58" s="182">
        <f t="shared" si="67"/>
        <v>0</v>
      </c>
      <c r="U58" s="182">
        <f t="shared" si="68"/>
        <v>25000</v>
      </c>
      <c r="V58" s="182">
        <f t="shared" si="69"/>
        <v>0</v>
      </c>
      <c r="W58" s="182">
        <f t="shared" si="70"/>
        <v>0</v>
      </c>
    </row>
    <row r="59" spans="2:23" x14ac:dyDescent="0.25">
      <c r="B59" s="159" t="s">
        <v>290</v>
      </c>
      <c r="C59" s="100" t="s">
        <v>35</v>
      </c>
      <c r="D59" s="102" t="s">
        <v>58</v>
      </c>
      <c r="E59" s="169">
        <v>280000</v>
      </c>
      <c r="F59" s="169">
        <v>280000</v>
      </c>
      <c r="G59" s="169">
        <v>0</v>
      </c>
      <c r="H59" s="169">
        <v>0</v>
      </c>
      <c r="I59" s="169">
        <v>0</v>
      </c>
      <c r="J59" s="169">
        <v>199566.73</v>
      </c>
      <c r="K59" s="169">
        <f t="shared" si="59"/>
        <v>0</v>
      </c>
      <c r="L59" s="169">
        <f t="shared" si="71"/>
        <v>0</v>
      </c>
      <c r="M59" s="169">
        <f t="shared" si="72"/>
        <v>199566.73</v>
      </c>
      <c r="N59" s="169">
        <v>0</v>
      </c>
      <c r="O59" s="182">
        <f t="shared" si="62"/>
        <v>0</v>
      </c>
      <c r="P59" s="182">
        <f t="shared" si="63"/>
        <v>0</v>
      </c>
      <c r="Q59" s="182">
        <f t="shared" si="64"/>
        <v>0</v>
      </c>
      <c r="R59" s="182">
        <f t="shared" si="65"/>
        <v>80433.26999999999</v>
      </c>
      <c r="S59" s="182">
        <f t="shared" si="66"/>
        <v>0</v>
      </c>
      <c r="T59" s="182">
        <f t="shared" si="67"/>
        <v>0</v>
      </c>
      <c r="U59" s="182">
        <f t="shared" si="68"/>
        <v>80433.26999999999</v>
      </c>
      <c r="V59" s="182">
        <f t="shared" si="69"/>
        <v>199566.73</v>
      </c>
      <c r="W59" s="182">
        <f t="shared" si="70"/>
        <v>199566.73</v>
      </c>
    </row>
    <row r="60" spans="2:23" x14ac:dyDescent="0.25">
      <c r="B60" s="159" t="s">
        <v>291</v>
      </c>
      <c r="C60" s="100" t="s">
        <v>35</v>
      </c>
      <c r="D60" s="102" t="s">
        <v>20</v>
      </c>
      <c r="E60" s="169">
        <v>30000</v>
      </c>
      <c r="F60" s="169">
        <v>30000</v>
      </c>
      <c r="G60" s="169">
        <v>0</v>
      </c>
      <c r="H60" s="169">
        <v>0</v>
      </c>
      <c r="I60" s="169">
        <v>0</v>
      </c>
      <c r="J60" s="169">
        <v>18942.849999999999</v>
      </c>
      <c r="K60" s="169">
        <f t="shared" si="59"/>
        <v>0</v>
      </c>
      <c r="L60" s="169">
        <f t="shared" si="71"/>
        <v>0</v>
      </c>
      <c r="M60" s="169">
        <f t="shared" si="72"/>
        <v>18942.849999999999</v>
      </c>
      <c r="N60" s="169">
        <v>0</v>
      </c>
      <c r="O60" s="182">
        <f t="shared" si="62"/>
        <v>0</v>
      </c>
      <c r="P60" s="182">
        <f t="shared" si="63"/>
        <v>0</v>
      </c>
      <c r="Q60" s="182">
        <f t="shared" si="64"/>
        <v>0</v>
      </c>
      <c r="R60" s="182">
        <f t="shared" si="65"/>
        <v>11057.150000000001</v>
      </c>
      <c r="S60" s="182">
        <f t="shared" si="66"/>
        <v>0</v>
      </c>
      <c r="T60" s="182">
        <f t="shared" si="67"/>
        <v>0</v>
      </c>
      <c r="U60" s="182">
        <f t="shared" si="68"/>
        <v>11057.150000000001</v>
      </c>
      <c r="V60" s="182">
        <f t="shared" si="69"/>
        <v>18942.849999999999</v>
      </c>
      <c r="W60" s="182">
        <f t="shared" si="70"/>
        <v>18942.849999999999</v>
      </c>
    </row>
    <row r="61" spans="2:23" x14ac:dyDescent="0.25">
      <c r="B61" s="159" t="s">
        <v>292</v>
      </c>
      <c r="C61" s="100" t="s">
        <v>35</v>
      </c>
      <c r="D61" s="102" t="s">
        <v>137</v>
      </c>
      <c r="E61" s="169">
        <v>80000</v>
      </c>
      <c r="F61" s="169">
        <v>80000</v>
      </c>
      <c r="G61" s="169">
        <v>0</v>
      </c>
      <c r="H61" s="169">
        <v>0</v>
      </c>
      <c r="I61" s="169">
        <v>0</v>
      </c>
      <c r="J61" s="169">
        <v>49612.5</v>
      </c>
      <c r="K61" s="169">
        <f t="shared" si="59"/>
        <v>0</v>
      </c>
      <c r="L61" s="169">
        <f t="shared" si="71"/>
        <v>0</v>
      </c>
      <c r="M61" s="169">
        <f t="shared" si="72"/>
        <v>49612.5</v>
      </c>
      <c r="N61" s="169">
        <v>0</v>
      </c>
      <c r="O61" s="182">
        <f t="shared" si="62"/>
        <v>0</v>
      </c>
      <c r="P61" s="182">
        <f t="shared" si="63"/>
        <v>0</v>
      </c>
      <c r="Q61" s="182">
        <f t="shared" si="64"/>
        <v>0</v>
      </c>
      <c r="R61" s="182">
        <f t="shared" si="65"/>
        <v>30387.5</v>
      </c>
      <c r="S61" s="182">
        <f t="shared" si="66"/>
        <v>0</v>
      </c>
      <c r="T61" s="182">
        <f t="shared" si="67"/>
        <v>0</v>
      </c>
      <c r="U61" s="182">
        <f t="shared" si="68"/>
        <v>30387.5</v>
      </c>
      <c r="V61" s="182">
        <f t="shared" si="69"/>
        <v>49612.5</v>
      </c>
      <c r="W61" s="182">
        <f t="shared" si="70"/>
        <v>49612.5</v>
      </c>
    </row>
    <row r="62" spans="2:23" x14ac:dyDescent="0.25">
      <c r="B62" s="159" t="s">
        <v>293</v>
      </c>
      <c r="C62" s="100" t="s">
        <v>35</v>
      </c>
      <c r="D62" s="102" t="s">
        <v>110</v>
      </c>
      <c r="E62" s="169">
        <v>35000</v>
      </c>
      <c r="F62" s="169">
        <v>35000</v>
      </c>
      <c r="G62" s="169">
        <v>0</v>
      </c>
      <c r="H62" s="169">
        <v>0</v>
      </c>
      <c r="I62" s="169">
        <v>0</v>
      </c>
      <c r="J62" s="169">
        <v>72812.5</v>
      </c>
      <c r="K62" s="169">
        <f t="shared" si="59"/>
        <v>0</v>
      </c>
      <c r="L62" s="169">
        <f t="shared" si="71"/>
        <v>0</v>
      </c>
      <c r="M62" s="169">
        <f t="shared" si="72"/>
        <v>72812.5</v>
      </c>
      <c r="N62" s="169">
        <v>0</v>
      </c>
      <c r="O62" s="182">
        <f t="shared" si="62"/>
        <v>0</v>
      </c>
      <c r="P62" s="182">
        <f t="shared" si="63"/>
        <v>0</v>
      </c>
      <c r="Q62" s="182">
        <f t="shared" si="64"/>
        <v>0</v>
      </c>
      <c r="R62" s="182">
        <f t="shared" si="65"/>
        <v>-37812.5</v>
      </c>
      <c r="S62" s="182">
        <f t="shared" si="66"/>
        <v>0</v>
      </c>
      <c r="T62" s="182">
        <f t="shared" si="67"/>
        <v>0</v>
      </c>
      <c r="U62" s="182">
        <f t="shared" si="68"/>
        <v>-37812.5</v>
      </c>
      <c r="V62" s="182">
        <f t="shared" si="69"/>
        <v>72812.5</v>
      </c>
      <c r="W62" s="182">
        <f t="shared" si="70"/>
        <v>72812.5</v>
      </c>
    </row>
    <row r="63" spans="2:23" x14ac:dyDescent="0.25">
      <c r="B63" s="159" t="s">
        <v>294</v>
      </c>
      <c r="C63" s="100" t="s">
        <v>35</v>
      </c>
      <c r="D63" s="102" t="s">
        <v>111</v>
      </c>
      <c r="E63" s="169">
        <v>390395.04</v>
      </c>
      <c r="F63" s="169">
        <v>300000</v>
      </c>
      <c r="G63" s="169">
        <v>0</v>
      </c>
      <c r="H63" s="169">
        <v>90395.04</v>
      </c>
      <c r="I63" s="169">
        <v>0</v>
      </c>
      <c r="J63" s="169">
        <v>280724.05</v>
      </c>
      <c r="K63" s="169">
        <f t="shared" si="59"/>
        <v>0</v>
      </c>
      <c r="L63" s="169">
        <f t="shared" si="71"/>
        <v>90395.04</v>
      </c>
      <c r="M63" s="169">
        <f t="shared" si="72"/>
        <v>190329.01</v>
      </c>
      <c r="N63" s="169">
        <v>15874.609999999999</v>
      </c>
      <c r="O63" s="182">
        <f t="shared" si="62"/>
        <v>0</v>
      </c>
      <c r="P63" s="182">
        <f t="shared" si="63"/>
        <v>0</v>
      </c>
      <c r="Q63" s="182">
        <f t="shared" si="64"/>
        <v>15874.609999999999</v>
      </c>
      <c r="R63" s="182">
        <f t="shared" si="65"/>
        <v>93796.37999999999</v>
      </c>
      <c r="S63" s="182">
        <f t="shared" si="66"/>
        <v>0</v>
      </c>
      <c r="T63" s="182">
        <f t="shared" si="67"/>
        <v>0</v>
      </c>
      <c r="U63" s="182">
        <f t="shared" si="68"/>
        <v>93796.37999999999</v>
      </c>
      <c r="V63" s="182">
        <f t="shared" si="69"/>
        <v>206203.62</v>
      </c>
      <c r="W63" s="182">
        <f t="shared" si="70"/>
        <v>296598.65999999997</v>
      </c>
    </row>
    <row r="64" spans="2:23" x14ac:dyDescent="0.25">
      <c r="B64" s="159" t="s">
        <v>295</v>
      </c>
      <c r="C64" s="100" t="s">
        <v>35</v>
      </c>
      <c r="D64" s="102" t="s">
        <v>126</v>
      </c>
      <c r="E64" s="169">
        <v>655367.62</v>
      </c>
      <c r="F64" s="169">
        <v>500000</v>
      </c>
      <c r="G64" s="169">
        <v>0</v>
      </c>
      <c r="H64" s="169">
        <v>155367.62</v>
      </c>
      <c r="I64" s="169">
        <v>0</v>
      </c>
      <c r="J64" s="169">
        <v>39611.269999999997</v>
      </c>
      <c r="K64" s="169">
        <f t="shared" si="59"/>
        <v>0</v>
      </c>
      <c r="L64" s="169">
        <f t="shared" si="71"/>
        <v>39611.269999999997</v>
      </c>
      <c r="M64" s="169">
        <f t="shared" si="72"/>
        <v>0</v>
      </c>
      <c r="N64" s="169">
        <v>940452.35</v>
      </c>
      <c r="O64" s="182">
        <f t="shared" si="62"/>
        <v>0</v>
      </c>
      <c r="P64" s="182">
        <f t="shared" si="63"/>
        <v>115756.35</v>
      </c>
      <c r="Q64" s="182">
        <f t="shared" si="64"/>
        <v>824696</v>
      </c>
      <c r="R64" s="182">
        <f t="shared" si="65"/>
        <v>-324696</v>
      </c>
      <c r="S64" s="182">
        <f t="shared" si="66"/>
        <v>0</v>
      </c>
      <c r="T64" s="182">
        <f t="shared" si="67"/>
        <v>0</v>
      </c>
      <c r="U64" s="182">
        <f t="shared" si="68"/>
        <v>-324696</v>
      </c>
      <c r="V64" s="182">
        <f t="shared" si="69"/>
        <v>824696</v>
      </c>
      <c r="W64" s="182">
        <f t="shared" si="70"/>
        <v>980063.62</v>
      </c>
    </row>
    <row r="65" spans="2:23" x14ac:dyDescent="0.25">
      <c r="C65" s="86"/>
      <c r="D65" s="138"/>
      <c r="E65" s="173"/>
      <c r="F65" s="173"/>
      <c r="G65" s="173"/>
      <c r="H65" s="173"/>
      <c r="I65" s="173"/>
      <c r="J65" s="176"/>
      <c r="K65" s="176"/>
      <c r="L65" s="176"/>
      <c r="M65" s="176"/>
      <c r="N65" s="177"/>
      <c r="O65" s="177"/>
      <c r="P65" s="177"/>
      <c r="Q65" s="177"/>
      <c r="R65" s="177"/>
      <c r="S65" s="177"/>
      <c r="T65" s="177"/>
      <c r="U65" s="177"/>
      <c r="V65" s="177"/>
      <c r="W65" s="177"/>
    </row>
    <row r="66" spans="2:23" s="139" customFormat="1" x14ac:dyDescent="0.25">
      <c r="B66" s="162"/>
      <c r="C66" s="104"/>
      <c r="D66" s="101" t="s">
        <v>39</v>
      </c>
      <c r="E66" s="178">
        <f t="shared" ref="E66:I66" si="73">SUM(E67:E84)</f>
        <v>6434649.6481980486</v>
      </c>
      <c r="F66" s="178">
        <f t="shared" si="73"/>
        <v>5765611.0381980492</v>
      </c>
      <c r="G66" s="178">
        <f t="shared" si="73"/>
        <v>9800</v>
      </c>
      <c r="H66" s="178">
        <f t="shared" si="73"/>
        <v>659238.61</v>
      </c>
      <c r="I66" s="178">
        <f t="shared" si="73"/>
        <v>0</v>
      </c>
      <c r="J66" s="178">
        <f t="shared" ref="J66:U66" si="74">SUM(J67:J84)</f>
        <v>5298848.99</v>
      </c>
      <c r="K66" s="178">
        <f t="shared" si="74"/>
        <v>9800</v>
      </c>
      <c r="L66" s="178">
        <f t="shared" si="74"/>
        <v>568822.41</v>
      </c>
      <c r="M66" s="178">
        <f t="shared" si="74"/>
        <v>4720226.5799999991</v>
      </c>
      <c r="N66" s="178">
        <f t="shared" si="74"/>
        <v>851292.04900000012</v>
      </c>
      <c r="O66" s="178">
        <f t="shared" ref="O66" si="75">SUM(O67:O84)</f>
        <v>0</v>
      </c>
      <c r="P66" s="178">
        <f t="shared" si="74"/>
        <v>90416.2</v>
      </c>
      <c r="Q66" s="178">
        <f t="shared" si="74"/>
        <v>760875.84900000016</v>
      </c>
      <c r="R66" s="178">
        <f t="shared" si="74"/>
        <v>284508.60919804859</v>
      </c>
      <c r="S66" s="178">
        <f t="shared" si="74"/>
        <v>0</v>
      </c>
      <c r="T66" s="178">
        <f t="shared" si="74"/>
        <v>0</v>
      </c>
      <c r="U66" s="178">
        <f t="shared" si="74"/>
        <v>284508.60919804859</v>
      </c>
      <c r="V66" s="178">
        <f t="shared" ref="V66:W66" si="76">SUM(V67:V84)</f>
        <v>5481102.4290000005</v>
      </c>
      <c r="W66" s="178">
        <f t="shared" si="76"/>
        <v>6150141.0389999999</v>
      </c>
    </row>
    <row r="67" spans="2:23" x14ac:dyDescent="0.25">
      <c r="B67" s="159" t="s">
        <v>296</v>
      </c>
      <c r="C67" s="100" t="s">
        <v>37</v>
      </c>
      <c r="D67" s="102" t="s">
        <v>73</v>
      </c>
      <c r="E67" s="169">
        <v>228312</v>
      </c>
      <c r="F67" s="169">
        <v>228312</v>
      </c>
      <c r="G67" s="169">
        <v>0</v>
      </c>
      <c r="H67" s="169">
        <v>0</v>
      </c>
      <c r="I67" s="169">
        <v>0</v>
      </c>
      <c r="J67" s="169">
        <v>153615.06</v>
      </c>
      <c r="K67" s="169">
        <f t="shared" ref="K67:K84" si="77">IF(AND(G67&gt;0, J67&gt;0), MIN(J67, G67), 0)</f>
        <v>0</v>
      </c>
      <c r="L67" s="169">
        <f t="shared" ref="L67" si="78">IF(AND(H67&gt;0, J67&gt;0), MIN(H67, J67 - K67), 0)</f>
        <v>0</v>
      </c>
      <c r="M67" s="169">
        <f t="shared" ref="M67" si="79">IF(J67&lt;0, J67, MAX(0, J67 - K67 - L67))</f>
        <v>153615.06</v>
      </c>
      <c r="N67" s="169">
        <v>0</v>
      </c>
      <c r="O67" s="182">
        <f t="shared" ref="O67:O84" si="80">IF(N67&gt;0, MIN(N67, MAX(0, G67 - K67)), 0)</f>
        <v>0</v>
      </c>
      <c r="P67" s="182">
        <f t="shared" ref="P67:P84" si="81">IF((N67-O67)&gt;0, MIN((N67-O67), MAX(0, (H67-O67) - (L67-O67))), 0)</f>
        <v>0</v>
      </c>
      <c r="Q67" s="182">
        <f t="shared" ref="Q67:Q84" si="82">N67-O67-P67</f>
        <v>0</v>
      </c>
      <c r="R67" s="182">
        <f t="shared" ref="R67:R84" si="83">SUM(S67:U67)</f>
        <v>74696.94</v>
      </c>
      <c r="S67" s="182">
        <f t="shared" ref="S67:S84" si="84">G67-K67-O67</f>
        <v>0</v>
      </c>
      <c r="T67" s="182">
        <f t="shared" ref="T67:T84" si="85">H67-L67-P67</f>
        <v>0</v>
      </c>
      <c r="U67" s="182">
        <f t="shared" ref="U67:U84" si="86">F67-M67-Q67</f>
        <v>74696.94</v>
      </c>
      <c r="V67" s="182">
        <f t="shared" ref="V67:V84" si="87">M67+Q67</f>
        <v>153615.06</v>
      </c>
      <c r="W67" s="182">
        <f t="shared" ref="W67:W84" si="88">J67+N67</f>
        <v>153615.06</v>
      </c>
    </row>
    <row r="68" spans="2:23" x14ac:dyDescent="0.25">
      <c r="B68" s="159" t="s">
        <v>297</v>
      </c>
      <c r="C68" s="100" t="s">
        <v>37</v>
      </c>
      <c r="D68" s="102" t="s">
        <v>123</v>
      </c>
      <c r="E68" s="169">
        <v>863660</v>
      </c>
      <c r="F68" s="169">
        <v>863660</v>
      </c>
      <c r="G68" s="169">
        <v>0</v>
      </c>
      <c r="H68" s="169">
        <v>0</v>
      </c>
      <c r="I68" s="169">
        <v>0</v>
      </c>
      <c r="J68" s="169">
        <v>856882.49</v>
      </c>
      <c r="K68" s="169">
        <f t="shared" si="77"/>
        <v>0</v>
      </c>
      <c r="L68" s="169">
        <f t="shared" ref="L68:L84" si="89">IF(AND(H68&gt;0, J68&gt;0), MIN(H68, J68 - K68), 0)</f>
        <v>0</v>
      </c>
      <c r="M68" s="169">
        <f t="shared" ref="M68:M84" si="90">IF(J68&lt;0, J68, MAX(0, J68 - K68 - L68))</f>
        <v>856882.49</v>
      </c>
      <c r="N68" s="169">
        <v>0</v>
      </c>
      <c r="O68" s="182">
        <f t="shared" si="80"/>
        <v>0</v>
      </c>
      <c r="P68" s="182">
        <f t="shared" si="81"/>
        <v>0</v>
      </c>
      <c r="Q68" s="182">
        <f t="shared" si="82"/>
        <v>0</v>
      </c>
      <c r="R68" s="182">
        <f t="shared" si="83"/>
        <v>6777.5100000000093</v>
      </c>
      <c r="S68" s="182">
        <f t="shared" si="84"/>
        <v>0</v>
      </c>
      <c r="T68" s="182">
        <f t="shared" si="85"/>
        <v>0</v>
      </c>
      <c r="U68" s="182">
        <f t="shared" si="86"/>
        <v>6777.5100000000093</v>
      </c>
      <c r="V68" s="182">
        <f t="shared" si="87"/>
        <v>856882.49</v>
      </c>
      <c r="W68" s="182">
        <f t="shared" si="88"/>
        <v>856882.49</v>
      </c>
    </row>
    <row r="69" spans="2:23" x14ac:dyDescent="0.25">
      <c r="B69" s="159" t="s">
        <v>298</v>
      </c>
      <c r="C69" s="100" t="s">
        <v>37</v>
      </c>
      <c r="D69" s="102" t="s">
        <v>124</v>
      </c>
      <c r="E69" s="169">
        <v>506517</v>
      </c>
      <c r="F69" s="169">
        <v>506517</v>
      </c>
      <c r="G69" s="169">
        <v>0</v>
      </c>
      <c r="H69" s="169">
        <v>0</v>
      </c>
      <c r="I69" s="169">
        <v>0</v>
      </c>
      <c r="J69" s="169">
        <v>501964.92</v>
      </c>
      <c r="K69" s="169">
        <f t="shared" si="77"/>
        <v>0</v>
      </c>
      <c r="L69" s="169">
        <f t="shared" si="89"/>
        <v>0</v>
      </c>
      <c r="M69" s="169">
        <f t="shared" si="90"/>
        <v>501964.92</v>
      </c>
      <c r="N69" s="169">
        <v>0</v>
      </c>
      <c r="O69" s="182">
        <f t="shared" si="80"/>
        <v>0</v>
      </c>
      <c r="P69" s="182">
        <f t="shared" si="81"/>
        <v>0</v>
      </c>
      <c r="Q69" s="182">
        <f t="shared" si="82"/>
        <v>0</v>
      </c>
      <c r="R69" s="182">
        <f t="shared" si="83"/>
        <v>4552.0800000000163</v>
      </c>
      <c r="S69" s="182">
        <f t="shared" si="84"/>
        <v>0</v>
      </c>
      <c r="T69" s="182">
        <f t="shared" si="85"/>
        <v>0</v>
      </c>
      <c r="U69" s="182">
        <f t="shared" si="86"/>
        <v>4552.0800000000163</v>
      </c>
      <c r="V69" s="182">
        <f t="shared" si="87"/>
        <v>501964.92</v>
      </c>
      <c r="W69" s="182">
        <f t="shared" si="88"/>
        <v>501964.92</v>
      </c>
    </row>
    <row r="70" spans="2:23" x14ac:dyDescent="0.25">
      <c r="B70" s="159" t="s">
        <v>299</v>
      </c>
      <c r="C70" s="100" t="s">
        <v>37</v>
      </c>
      <c r="D70" s="102" t="s">
        <v>125</v>
      </c>
      <c r="E70" s="169">
        <v>218144</v>
      </c>
      <c r="F70" s="169">
        <v>218144</v>
      </c>
      <c r="G70" s="169">
        <v>0</v>
      </c>
      <c r="H70" s="169">
        <v>0</v>
      </c>
      <c r="I70" s="169">
        <v>0</v>
      </c>
      <c r="J70" s="169">
        <v>216353.34</v>
      </c>
      <c r="K70" s="169">
        <f t="shared" si="77"/>
        <v>0</v>
      </c>
      <c r="L70" s="169">
        <f t="shared" si="89"/>
        <v>0</v>
      </c>
      <c r="M70" s="169">
        <f t="shared" si="90"/>
        <v>216353.34</v>
      </c>
      <c r="N70" s="169">
        <v>0</v>
      </c>
      <c r="O70" s="182">
        <f t="shared" si="80"/>
        <v>0</v>
      </c>
      <c r="P70" s="182">
        <f t="shared" si="81"/>
        <v>0</v>
      </c>
      <c r="Q70" s="182">
        <f t="shared" si="82"/>
        <v>0</v>
      </c>
      <c r="R70" s="182">
        <f t="shared" si="83"/>
        <v>1790.6600000000035</v>
      </c>
      <c r="S70" s="182">
        <f t="shared" si="84"/>
        <v>0</v>
      </c>
      <c r="T70" s="182">
        <f t="shared" si="85"/>
        <v>0</v>
      </c>
      <c r="U70" s="182">
        <f t="shared" si="86"/>
        <v>1790.6600000000035</v>
      </c>
      <c r="V70" s="182">
        <f t="shared" si="87"/>
        <v>216353.34</v>
      </c>
      <c r="W70" s="182">
        <f t="shared" si="88"/>
        <v>216353.34</v>
      </c>
    </row>
    <row r="71" spans="2:23" x14ac:dyDescent="0.25">
      <c r="B71" s="159" t="s">
        <v>300</v>
      </c>
      <c r="C71" s="100" t="s">
        <v>37</v>
      </c>
      <c r="D71" s="102" t="s">
        <v>74</v>
      </c>
      <c r="E71" s="169">
        <v>92622</v>
      </c>
      <c r="F71" s="169">
        <v>92622</v>
      </c>
      <c r="G71" s="169">
        <v>0</v>
      </c>
      <c r="H71" s="169">
        <v>0</v>
      </c>
      <c r="I71" s="169">
        <v>0</v>
      </c>
      <c r="J71" s="169">
        <v>46311</v>
      </c>
      <c r="K71" s="169">
        <f t="shared" si="77"/>
        <v>0</v>
      </c>
      <c r="L71" s="169">
        <f t="shared" si="89"/>
        <v>0</v>
      </c>
      <c r="M71" s="169">
        <f t="shared" si="90"/>
        <v>46311</v>
      </c>
      <c r="N71" s="169">
        <v>0</v>
      </c>
      <c r="O71" s="182">
        <f t="shared" si="80"/>
        <v>0</v>
      </c>
      <c r="P71" s="182">
        <f t="shared" si="81"/>
        <v>0</v>
      </c>
      <c r="Q71" s="182">
        <f t="shared" si="82"/>
        <v>0</v>
      </c>
      <c r="R71" s="182">
        <f t="shared" si="83"/>
        <v>46311</v>
      </c>
      <c r="S71" s="182">
        <f t="shared" si="84"/>
        <v>0</v>
      </c>
      <c r="T71" s="182">
        <f t="shared" si="85"/>
        <v>0</v>
      </c>
      <c r="U71" s="182">
        <f t="shared" si="86"/>
        <v>46311</v>
      </c>
      <c r="V71" s="182">
        <f t="shared" si="87"/>
        <v>46311</v>
      </c>
      <c r="W71" s="182">
        <f t="shared" si="88"/>
        <v>46311</v>
      </c>
    </row>
    <row r="72" spans="2:23" x14ac:dyDescent="0.25">
      <c r="B72" s="159" t="s">
        <v>301</v>
      </c>
      <c r="C72" s="100" t="s">
        <v>37</v>
      </c>
      <c r="D72" s="102" t="s">
        <v>153</v>
      </c>
      <c r="E72" s="169">
        <v>1709650</v>
      </c>
      <c r="F72" s="169">
        <v>1709650</v>
      </c>
      <c r="G72" s="169">
        <v>0</v>
      </c>
      <c r="H72" s="169">
        <v>0</v>
      </c>
      <c r="I72" s="169">
        <v>0</v>
      </c>
      <c r="J72" s="169">
        <v>1688969.12</v>
      </c>
      <c r="K72" s="169">
        <f t="shared" si="77"/>
        <v>0</v>
      </c>
      <c r="L72" s="169">
        <f t="shared" si="89"/>
        <v>0</v>
      </c>
      <c r="M72" s="169">
        <f t="shared" si="90"/>
        <v>1688969.12</v>
      </c>
      <c r="N72" s="169">
        <v>0</v>
      </c>
      <c r="O72" s="182">
        <f t="shared" si="80"/>
        <v>0</v>
      </c>
      <c r="P72" s="182">
        <f t="shared" si="81"/>
        <v>0</v>
      </c>
      <c r="Q72" s="182">
        <f t="shared" si="82"/>
        <v>0</v>
      </c>
      <c r="R72" s="182">
        <f t="shared" si="83"/>
        <v>20680.879999999888</v>
      </c>
      <c r="S72" s="182">
        <f t="shared" si="84"/>
        <v>0</v>
      </c>
      <c r="T72" s="182">
        <f t="shared" si="85"/>
        <v>0</v>
      </c>
      <c r="U72" s="182">
        <f t="shared" si="86"/>
        <v>20680.879999999888</v>
      </c>
      <c r="V72" s="182">
        <f t="shared" si="87"/>
        <v>1688969.12</v>
      </c>
      <c r="W72" s="182">
        <f t="shared" si="88"/>
        <v>1688969.12</v>
      </c>
    </row>
    <row r="73" spans="2:23" x14ac:dyDescent="0.25">
      <c r="B73" s="159" t="s">
        <v>302</v>
      </c>
      <c r="C73" s="100" t="s">
        <v>37</v>
      </c>
      <c r="D73" s="102" t="s">
        <v>59</v>
      </c>
      <c r="E73" s="169">
        <v>65000</v>
      </c>
      <c r="F73" s="169">
        <v>15000</v>
      </c>
      <c r="G73" s="169">
        <v>0</v>
      </c>
      <c r="H73" s="169">
        <v>50000</v>
      </c>
      <c r="I73" s="169">
        <v>0</v>
      </c>
      <c r="J73" s="169">
        <v>31749.200000000001</v>
      </c>
      <c r="K73" s="169">
        <f t="shared" si="77"/>
        <v>0</v>
      </c>
      <c r="L73" s="169">
        <f t="shared" si="89"/>
        <v>31749.200000000001</v>
      </c>
      <c r="M73" s="169">
        <f t="shared" si="90"/>
        <v>0</v>
      </c>
      <c r="N73" s="169">
        <v>33250.800000000003</v>
      </c>
      <c r="O73" s="182">
        <f t="shared" si="80"/>
        <v>0</v>
      </c>
      <c r="P73" s="182">
        <f t="shared" si="81"/>
        <v>18250.8</v>
      </c>
      <c r="Q73" s="182">
        <f t="shared" si="82"/>
        <v>15000.000000000004</v>
      </c>
      <c r="R73" s="182">
        <f t="shared" si="83"/>
        <v>0</v>
      </c>
      <c r="S73" s="182">
        <f t="shared" si="84"/>
        <v>0</v>
      </c>
      <c r="T73" s="182">
        <f t="shared" si="85"/>
        <v>0</v>
      </c>
      <c r="U73" s="182">
        <f t="shared" si="86"/>
        <v>0</v>
      </c>
      <c r="V73" s="182">
        <f t="shared" si="87"/>
        <v>15000.000000000004</v>
      </c>
      <c r="W73" s="182">
        <f t="shared" si="88"/>
        <v>65000</v>
      </c>
    </row>
    <row r="74" spans="2:23" x14ac:dyDescent="0.25">
      <c r="B74" s="159" t="s">
        <v>303</v>
      </c>
      <c r="C74" s="100" t="s">
        <v>37</v>
      </c>
      <c r="D74" s="134" t="s">
        <v>135</v>
      </c>
      <c r="E74" s="169">
        <v>50000</v>
      </c>
      <c r="F74" s="169">
        <v>50000</v>
      </c>
      <c r="G74" s="169">
        <v>0</v>
      </c>
      <c r="H74" s="169">
        <v>0</v>
      </c>
      <c r="I74" s="169">
        <v>0</v>
      </c>
      <c r="J74" s="169">
        <v>0</v>
      </c>
      <c r="K74" s="169">
        <f t="shared" si="77"/>
        <v>0</v>
      </c>
      <c r="L74" s="169">
        <f t="shared" si="89"/>
        <v>0</v>
      </c>
      <c r="M74" s="169">
        <f t="shared" si="90"/>
        <v>0</v>
      </c>
      <c r="N74" s="169">
        <v>0</v>
      </c>
      <c r="O74" s="182">
        <f t="shared" si="80"/>
        <v>0</v>
      </c>
      <c r="P74" s="182">
        <f t="shared" si="81"/>
        <v>0</v>
      </c>
      <c r="Q74" s="182">
        <f t="shared" si="82"/>
        <v>0</v>
      </c>
      <c r="R74" s="182">
        <f t="shared" si="83"/>
        <v>50000</v>
      </c>
      <c r="S74" s="182">
        <f t="shared" si="84"/>
        <v>0</v>
      </c>
      <c r="T74" s="182">
        <f t="shared" si="85"/>
        <v>0</v>
      </c>
      <c r="U74" s="182">
        <f t="shared" si="86"/>
        <v>50000</v>
      </c>
      <c r="V74" s="182">
        <f t="shared" si="87"/>
        <v>0</v>
      </c>
      <c r="W74" s="182">
        <f t="shared" si="88"/>
        <v>0</v>
      </c>
    </row>
    <row r="75" spans="2:23" x14ac:dyDescent="0.25">
      <c r="B75" s="159" t="s">
        <v>304</v>
      </c>
      <c r="C75" s="100" t="s">
        <v>37</v>
      </c>
      <c r="D75" s="102" t="s">
        <v>118</v>
      </c>
      <c r="E75" s="169">
        <v>120541.13</v>
      </c>
      <c r="F75" s="169">
        <v>70000</v>
      </c>
      <c r="G75" s="169">
        <v>0</v>
      </c>
      <c r="H75" s="169">
        <v>50541.130000000005</v>
      </c>
      <c r="I75" s="169">
        <v>0</v>
      </c>
      <c r="J75" s="169">
        <v>132771.04999999999</v>
      </c>
      <c r="K75" s="169">
        <f t="shared" si="77"/>
        <v>0</v>
      </c>
      <c r="L75" s="169">
        <f t="shared" si="89"/>
        <v>50541.130000000005</v>
      </c>
      <c r="M75" s="169">
        <f t="shared" si="90"/>
        <v>82229.919999999984</v>
      </c>
      <c r="N75" s="169">
        <v>2409.75</v>
      </c>
      <c r="O75" s="182">
        <f t="shared" si="80"/>
        <v>0</v>
      </c>
      <c r="P75" s="182">
        <f t="shared" si="81"/>
        <v>0</v>
      </c>
      <c r="Q75" s="182">
        <f t="shared" si="82"/>
        <v>2409.75</v>
      </c>
      <c r="R75" s="182">
        <f t="shared" si="83"/>
        <v>-14639.669999999984</v>
      </c>
      <c r="S75" s="182">
        <f t="shared" si="84"/>
        <v>0</v>
      </c>
      <c r="T75" s="182">
        <f t="shared" si="85"/>
        <v>0</v>
      </c>
      <c r="U75" s="182">
        <f t="shared" si="86"/>
        <v>-14639.669999999984</v>
      </c>
      <c r="V75" s="182">
        <f t="shared" si="87"/>
        <v>84639.669999999984</v>
      </c>
      <c r="W75" s="182">
        <f t="shared" si="88"/>
        <v>135180.79999999999</v>
      </c>
    </row>
    <row r="76" spans="2:23" x14ac:dyDescent="0.25">
      <c r="B76" s="159" t="s">
        <v>305</v>
      </c>
      <c r="C76" s="100" t="s">
        <v>37</v>
      </c>
      <c r="D76" s="102" t="s">
        <v>119</v>
      </c>
      <c r="E76" s="169">
        <v>481729</v>
      </c>
      <c r="F76" s="169">
        <v>200000</v>
      </c>
      <c r="G76" s="169">
        <v>0</v>
      </c>
      <c r="H76" s="169">
        <v>281729</v>
      </c>
      <c r="I76" s="169">
        <v>0</v>
      </c>
      <c r="J76" s="169">
        <v>280687.68</v>
      </c>
      <c r="K76" s="169">
        <f t="shared" si="77"/>
        <v>0</v>
      </c>
      <c r="L76" s="169">
        <f t="shared" si="89"/>
        <v>280687.68</v>
      </c>
      <c r="M76" s="169">
        <f t="shared" si="90"/>
        <v>0</v>
      </c>
      <c r="N76" s="169">
        <v>185000</v>
      </c>
      <c r="O76" s="182">
        <f t="shared" si="80"/>
        <v>0</v>
      </c>
      <c r="P76" s="182">
        <f t="shared" si="81"/>
        <v>1041.320000000007</v>
      </c>
      <c r="Q76" s="182">
        <f t="shared" si="82"/>
        <v>183958.68</v>
      </c>
      <c r="R76" s="182">
        <f t="shared" si="83"/>
        <v>16041.320000000007</v>
      </c>
      <c r="S76" s="182">
        <f t="shared" si="84"/>
        <v>0</v>
      </c>
      <c r="T76" s="182">
        <f t="shared" si="85"/>
        <v>0</v>
      </c>
      <c r="U76" s="182">
        <f t="shared" si="86"/>
        <v>16041.320000000007</v>
      </c>
      <c r="V76" s="182">
        <f t="shared" si="87"/>
        <v>183958.68</v>
      </c>
      <c r="W76" s="182">
        <f t="shared" si="88"/>
        <v>465687.68</v>
      </c>
    </row>
    <row r="77" spans="2:23" x14ac:dyDescent="0.25">
      <c r="B77" s="159" t="s">
        <v>306</v>
      </c>
      <c r="C77" s="100" t="s">
        <v>37</v>
      </c>
      <c r="D77" s="102" t="s">
        <v>120</v>
      </c>
      <c r="E77" s="169">
        <v>153735.63</v>
      </c>
      <c r="F77" s="169">
        <v>100000</v>
      </c>
      <c r="G77" s="169">
        <v>0</v>
      </c>
      <c r="H77" s="169">
        <v>53735.63</v>
      </c>
      <c r="I77" s="169">
        <v>0</v>
      </c>
      <c r="J77" s="169">
        <v>18869.97</v>
      </c>
      <c r="K77" s="169">
        <f t="shared" si="77"/>
        <v>0</v>
      </c>
      <c r="L77" s="169">
        <f t="shared" si="89"/>
        <v>18869.97</v>
      </c>
      <c r="M77" s="169">
        <f t="shared" si="90"/>
        <v>0</v>
      </c>
      <c r="N77" s="169">
        <v>75108.490000000005</v>
      </c>
      <c r="O77" s="182">
        <f t="shared" si="80"/>
        <v>0</v>
      </c>
      <c r="P77" s="182">
        <f t="shared" si="81"/>
        <v>34865.659999999996</v>
      </c>
      <c r="Q77" s="182">
        <f t="shared" si="82"/>
        <v>40242.830000000009</v>
      </c>
      <c r="R77" s="182">
        <f t="shared" si="83"/>
        <v>59757.169999999991</v>
      </c>
      <c r="S77" s="182">
        <f t="shared" si="84"/>
        <v>0</v>
      </c>
      <c r="T77" s="182">
        <f t="shared" si="85"/>
        <v>0</v>
      </c>
      <c r="U77" s="182">
        <f t="shared" si="86"/>
        <v>59757.169999999991</v>
      </c>
      <c r="V77" s="182">
        <f t="shared" si="87"/>
        <v>40242.830000000009</v>
      </c>
      <c r="W77" s="182">
        <f t="shared" si="88"/>
        <v>93978.46</v>
      </c>
    </row>
    <row r="78" spans="2:23" x14ac:dyDescent="0.25">
      <c r="B78" s="159" t="s">
        <v>307</v>
      </c>
      <c r="C78" s="100" t="s">
        <v>37</v>
      </c>
      <c r="D78" s="102" t="s">
        <v>121</v>
      </c>
      <c r="E78" s="169">
        <v>259800</v>
      </c>
      <c r="F78" s="169">
        <v>125000</v>
      </c>
      <c r="G78" s="169">
        <v>9800</v>
      </c>
      <c r="H78" s="169">
        <v>125000</v>
      </c>
      <c r="I78" s="169">
        <v>0</v>
      </c>
      <c r="J78" s="169">
        <v>98541.58</v>
      </c>
      <c r="K78" s="169">
        <f t="shared" si="77"/>
        <v>9800</v>
      </c>
      <c r="L78" s="169">
        <f t="shared" si="89"/>
        <v>88741.58</v>
      </c>
      <c r="M78" s="169">
        <f t="shared" si="90"/>
        <v>0</v>
      </c>
      <c r="N78" s="169">
        <v>161258.43</v>
      </c>
      <c r="O78" s="182">
        <f t="shared" si="80"/>
        <v>0</v>
      </c>
      <c r="P78" s="182">
        <f t="shared" si="81"/>
        <v>36258.42</v>
      </c>
      <c r="Q78" s="182">
        <f t="shared" si="82"/>
        <v>125000.01</v>
      </c>
      <c r="R78" s="182">
        <f t="shared" si="83"/>
        <v>-9.9999999947613105E-3</v>
      </c>
      <c r="S78" s="182">
        <f t="shared" si="84"/>
        <v>0</v>
      </c>
      <c r="T78" s="182">
        <f t="shared" si="85"/>
        <v>0</v>
      </c>
      <c r="U78" s="182">
        <f t="shared" si="86"/>
        <v>-9.9999999947613105E-3</v>
      </c>
      <c r="V78" s="182">
        <f t="shared" si="87"/>
        <v>125000.01</v>
      </c>
      <c r="W78" s="182">
        <f t="shared" si="88"/>
        <v>259800.01</v>
      </c>
    </row>
    <row r="79" spans="2:23" x14ac:dyDescent="0.25">
      <c r="B79" s="159" t="s">
        <v>308</v>
      </c>
      <c r="C79" s="100" t="s">
        <v>37</v>
      </c>
      <c r="D79" s="102" t="s">
        <v>122</v>
      </c>
      <c r="E79" s="169">
        <v>153000</v>
      </c>
      <c r="F79" s="169">
        <v>153000</v>
      </c>
      <c r="G79" s="169">
        <v>0</v>
      </c>
      <c r="H79" s="169">
        <v>0</v>
      </c>
      <c r="I79" s="169">
        <v>0</v>
      </c>
      <c r="J79" s="169">
        <v>153000</v>
      </c>
      <c r="K79" s="169">
        <f t="shared" si="77"/>
        <v>0</v>
      </c>
      <c r="L79" s="169">
        <f t="shared" si="89"/>
        <v>0</v>
      </c>
      <c r="M79" s="169">
        <f t="shared" si="90"/>
        <v>153000</v>
      </c>
      <c r="N79" s="169">
        <v>0</v>
      </c>
      <c r="O79" s="182">
        <f t="shared" si="80"/>
        <v>0</v>
      </c>
      <c r="P79" s="182">
        <f t="shared" si="81"/>
        <v>0</v>
      </c>
      <c r="Q79" s="182">
        <f t="shared" si="82"/>
        <v>0</v>
      </c>
      <c r="R79" s="182">
        <f t="shared" si="83"/>
        <v>0</v>
      </c>
      <c r="S79" s="182">
        <f t="shared" si="84"/>
        <v>0</v>
      </c>
      <c r="T79" s="182">
        <f t="shared" si="85"/>
        <v>0</v>
      </c>
      <c r="U79" s="182">
        <f t="shared" si="86"/>
        <v>0</v>
      </c>
      <c r="V79" s="182">
        <f t="shared" si="87"/>
        <v>153000</v>
      </c>
      <c r="W79" s="182">
        <f t="shared" si="88"/>
        <v>153000</v>
      </c>
    </row>
    <row r="80" spans="2:23" x14ac:dyDescent="0.25">
      <c r="B80" s="159" t="s">
        <v>309</v>
      </c>
      <c r="C80" s="100" t="s">
        <v>37</v>
      </c>
      <c r="D80" s="102" t="s">
        <v>136</v>
      </c>
      <c r="E80" s="169">
        <v>498232.85</v>
      </c>
      <c r="F80" s="169">
        <v>400000</v>
      </c>
      <c r="G80" s="169">
        <v>0</v>
      </c>
      <c r="H80" s="169">
        <v>98232.849999999991</v>
      </c>
      <c r="I80" s="169">
        <v>0</v>
      </c>
      <c r="J80" s="169">
        <v>374214.1</v>
      </c>
      <c r="K80" s="169">
        <f t="shared" si="77"/>
        <v>0</v>
      </c>
      <c r="L80" s="169">
        <f t="shared" si="89"/>
        <v>98232.849999999991</v>
      </c>
      <c r="M80" s="169">
        <f t="shared" si="90"/>
        <v>275981.25</v>
      </c>
      <c r="N80" s="169">
        <v>255478.05900000012</v>
      </c>
      <c r="O80" s="182">
        <f t="shared" si="80"/>
        <v>0</v>
      </c>
      <c r="P80" s="182">
        <f t="shared" si="81"/>
        <v>0</v>
      </c>
      <c r="Q80" s="182">
        <f t="shared" si="82"/>
        <v>255478.05900000012</v>
      </c>
      <c r="R80" s="182">
        <f t="shared" si="83"/>
        <v>-131459.30900000012</v>
      </c>
      <c r="S80" s="182">
        <f t="shared" si="84"/>
        <v>0</v>
      </c>
      <c r="T80" s="182">
        <f t="shared" si="85"/>
        <v>0</v>
      </c>
      <c r="U80" s="182">
        <f t="shared" si="86"/>
        <v>-131459.30900000012</v>
      </c>
      <c r="V80" s="182">
        <f t="shared" si="87"/>
        <v>531459.30900000012</v>
      </c>
      <c r="W80" s="182">
        <f t="shared" si="88"/>
        <v>629692.1590000001</v>
      </c>
    </row>
    <row r="81" spans="2:23" s="139" customFormat="1" x14ac:dyDescent="0.25">
      <c r="B81" s="162" t="s">
        <v>311</v>
      </c>
      <c r="C81" s="135" t="s">
        <v>37</v>
      </c>
      <c r="D81" s="134" t="s">
        <v>154</v>
      </c>
      <c r="E81" s="169">
        <v>388706.03819804877</v>
      </c>
      <c r="F81" s="169">
        <v>388706.03819804877</v>
      </c>
      <c r="G81" s="169">
        <v>0</v>
      </c>
      <c r="H81" s="169">
        <v>0</v>
      </c>
      <c r="I81" s="169">
        <v>0</v>
      </c>
      <c r="J81" s="169">
        <v>388706</v>
      </c>
      <c r="K81" s="169">
        <f t="shared" si="77"/>
        <v>0</v>
      </c>
      <c r="L81" s="169">
        <f t="shared" si="89"/>
        <v>0</v>
      </c>
      <c r="M81" s="169">
        <f t="shared" si="90"/>
        <v>388706</v>
      </c>
      <c r="N81" s="169">
        <v>0</v>
      </c>
      <c r="O81" s="182">
        <f t="shared" si="80"/>
        <v>0</v>
      </c>
      <c r="P81" s="182">
        <f t="shared" si="81"/>
        <v>0</v>
      </c>
      <c r="Q81" s="182">
        <f t="shared" si="82"/>
        <v>0</v>
      </c>
      <c r="R81" s="182">
        <f t="shared" si="83"/>
        <v>3.819804877275601E-2</v>
      </c>
      <c r="S81" s="182">
        <f t="shared" si="84"/>
        <v>0</v>
      </c>
      <c r="T81" s="182">
        <f t="shared" si="85"/>
        <v>0</v>
      </c>
      <c r="U81" s="182">
        <f t="shared" si="86"/>
        <v>3.819804877275601E-2</v>
      </c>
      <c r="V81" s="182">
        <f t="shared" si="87"/>
        <v>388706</v>
      </c>
      <c r="W81" s="182">
        <f t="shared" si="88"/>
        <v>388706</v>
      </c>
    </row>
    <row r="82" spans="2:23" s="139" customFormat="1" x14ac:dyDescent="0.25">
      <c r="B82" s="162" t="s">
        <v>299</v>
      </c>
      <c r="C82" s="135" t="s">
        <v>37</v>
      </c>
      <c r="D82" s="134" t="s">
        <v>155</v>
      </c>
      <c r="E82" s="169">
        <v>150000</v>
      </c>
      <c r="F82" s="169">
        <v>150000</v>
      </c>
      <c r="G82" s="169">
        <v>0</v>
      </c>
      <c r="H82" s="169">
        <v>0</v>
      </c>
      <c r="I82" s="169">
        <v>0</v>
      </c>
      <c r="J82" s="169">
        <v>0</v>
      </c>
      <c r="K82" s="169">
        <f t="shared" si="77"/>
        <v>0</v>
      </c>
      <c r="L82" s="169">
        <f t="shared" si="89"/>
        <v>0</v>
      </c>
      <c r="M82" s="169">
        <f t="shared" si="90"/>
        <v>0</v>
      </c>
      <c r="N82" s="169">
        <v>0</v>
      </c>
      <c r="O82" s="182">
        <f t="shared" si="80"/>
        <v>0</v>
      </c>
      <c r="P82" s="182">
        <f t="shared" si="81"/>
        <v>0</v>
      </c>
      <c r="Q82" s="182">
        <f t="shared" si="82"/>
        <v>0</v>
      </c>
      <c r="R82" s="182">
        <f t="shared" si="83"/>
        <v>150000</v>
      </c>
      <c r="S82" s="182">
        <f t="shared" si="84"/>
        <v>0</v>
      </c>
      <c r="T82" s="182">
        <f t="shared" si="85"/>
        <v>0</v>
      </c>
      <c r="U82" s="182">
        <f t="shared" si="86"/>
        <v>150000</v>
      </c>
      <c r="V82" s="182">
        <f t="shared" si="87"/>
        <v>0</v>
      </c>
      <c r="W82" s="182">
        <f t="shared" si="88"/>
        <v>0</v>
      </c>
    </row>
    <row r="83" spans="2:23" s="139" customFormat="1" x14ac:dyDescent="0.25">
      <c r="B83" s="162" t="s">
        <v>312</v>
      </c>
      <c r="C83" s="135" t="s">
        <v>37</v>
      </c>
      <c r="D83" s="134" t="s">
        <v>156</v>
      </c>
      <c r="E83" s="169">
        <v>150000</v>
      </c>
      <c r="F83" s="169">
        <v>150000</v>
      </c>
      <c r="G83" s="169">
        <v>0</v>
      </c>
      <c r="H83" s="169">
        <v>0</v>
      </c>
      <c r="I83" s="169">
        <v>0</v>
      </c>
      <c r="J83" s="169">
        <v>129858.76</v>
      </c>
      <c r="K83" s="169">
        <f t="shared" si="77"/>
        <v>0</v>
      </c>
      <c r="L83" s="169">
        <f t="shared" si="89"/>
        <v>0</v>
      </c>
      <c r="M83" s="169">
        <f t="shared" si="90"/>
        <v>129858.76</v>
      </c>
      <c r="N83" s="169">
        <v>20141.239999999998</v>
      </c>
      <c r="O83" s="182">
        <f t="shared" si="80"/>
        <v>0</v>
      </c>
      <c r="P83" s="182">
        <f t="shared" si="81"/>
        <v>0</v>
      </c>
      <c r="Q83" s="182">
        <f t="shared" si="82"/>
        <v>20141.239999999998</v>
      </c>
      <c r="R83" s="182">
        <f t="shared" si="83"/>
        <v>0</v>
      </c>
      <c r="S83" s="182">
        <f t="shared" si="84"/>
        <v>0</v>
      </c>
      <c r="T83" s="182">
        <f t="shared" si="85"/>
        <v>0</v>
      </c>
      <c r="U83" s="182">
        <f t="shared" si="86"/>
        <v>0</v>
      </c>
      <c r="V83" s="182">
        <f t="shared" si="87"/>
        <v>150000</v>
      </c>
      <c r="W83" s="182">
        <f t="shared" si="88"/>
        <v>150000</v>
      </c>
    </row>
    <row r="84" spans="2:23" x14ac:dyDescent="0.25">
      <c r="B84" s="159" t="s">
        <v>310</v>
      </c>
      <c r="C84" s="100" t="s">
        <v>37</v>
      </c>
      <c r="D84" s="138" t="s">
        <v>19</v>
      </c>
      <c r="E84" s="169">
        <v>345000</v>
      </c>
      <c r="F84" s="169">
        <v>345000</v>
      </c>
      <c r="G84" s="169">
        <v>0</v>
      </c>
      <c r="H84" s="169">
        <v>0</v>
      </c>
      <c r="I84" s="169">
        <v>0</v>
      </c>
      <c r="J84" s="169">
        <v>226354.72</v>
      </c>
      <c r="K84" s="169">
        <f t="shared" si="77"/>
        <v>0</v>
      </c>
      <c r="L84" s="169">
        <f t="shared" si="89"/>
        <v>0</v>
      </c>
      <c r="M84" s="169">
        <f t="shared" si="90"/>
        <v>226354.72</v>
      </c>
      <c r="N84" s="169">
        <v>118645.28</v>
      </c>
      <c r="O84" s="182">
        <f t="shared" si="80"/>
        <v>0</v>
      </c>
      <c r="P84" s="182">
        <f t="shared" si="81"/>
        <v>0</v>
      </c>
      <c r="Q84" s="182">
        <f t="shared" si="82"/>
        <v>118645.28</v>
      </c>
      <c r="R84" s="182">
        <f t="shared" si="83"/>
        <v>0</v>
      </c>
      <c r="S84" s="182">
        <f t="shared" si="84"/>
        <v>0</v>
      </c>
      <c r="T84" s="182">
        <f t="shared" si="85"/>
        <v>0</v>
      </c>
      <c r="U84" s="182">
        <f t="shared" si="86"/>
        <v>0</v>
      </c>
      <c r="V84" s="182">
        <f t="shared" si="87"/>
        <v>345000</v>
      </c>
      <c r="W84" s="182">
        <f t="shared" si="88"/>
        <v>345000</v>
      </c>
    </row>
    <row r="85" spans="2:23" x14ac:dyDescent="0.25">
      <c r="C85" s="86"/>
      <c r="D85" s="138"/>
      <c r="E85" s="173"/>
      <c r="F85" s="173"/>
      <c r="G85" s="173"/>
      <c r="H85" s="173"/>
      <c r="I85" s="173"/>
      <c r="J85" s="176"/>
      <c r="K85" s="176"/>
      <c r="L85" s="176"/>
      <c r="M85" s="176"/>
      <c r="N85" s="177"/>
      <c r="O85" s="177"/>
      <c r="P85" s="177"/>
      <c r="Q85" s="177"/>
      <c r="R85" s="177"/>
      <c r="S85" s="177"/>
      <c r="T85" s="177"/>
      <c r="U85" s="177"/>
      <c r="V85" s="177"/>
      <c r="W85" s="177"/>
    </row>
    <row r="86" spans="2:23" s="139" customFormat="1" x14ac:dyDescent="0.25">
      <c r="B86" s="162"/>
      <c r="C86" s="104"/>
      <c r="D86" s="101" t="s">
        <v>40</v>
      </c>
      <c r="E86" s="178">
        <f>SUM(E87:E100)</f>
        <v>84872029.25999999</v>
      </c>
      <c r="F86" s="178">
        <f t="shared" ref="F86:U86" si="91">SUM(F87:F100)</f>
        <v>64047713</v>
      </c>
      <c r="G86" s="178">
        <f t="shared" si="91"/>
        <v>1904984.2299999995</v>
      </c>
      <c r="H86" s="178">
        <f t="shared" si="91"/>
        <v>18919332.030000001</v>
      </c>
      <c r="I86" s="178">
        <f t="shared" si="91"/>
        <v>0</v>
      </c>
      <c r="J86" s="178">
        <f t="shared" si="91"/>
        <v>53624748.540000007</v>
      </c>
      <c r="K86" s="178">
        <f t="shared" si="91"/>
        <v>1904984.2299999995</v>
      </c>
      <c r="L86" s="178">
        <f t="shared" si="91"/>
        <v>13735622.449999997</v>
      </c>
      <c r="M86" s="178">
        <f t="shared" si="91"/>
        <v>37984141.859999999</v>
      </c>
      <c r="N86" s="178">
        <f t="shared" si="91"/>
        <v>24552488.599999998</v>
      </c>
      <c r="O86" s="178">
        <f t="shared" ref="O86" si="92">SUM(O87:O100)</f>
        <v>0</v>
      </c>
      <c r="P86" s="178">
        <f t="shared" si="91"/>
        <v>3291394.58</v>
      </c>
      <c r="Q86" s="178">
        <f t="shared" si="91"/>
        <v>21261094.019999996</v>
      </c>
      <c r="R86" s="178">
        <f t="shared" si="91"/>
        <v>6694792.1200000038</v>
      </c>
      <c r="S86" s="178">
        <f t="shared" si="91"/>
        <v>0</v>
      </c>
      <c r="T86" s="178">
        <f t="shared" si="91"/>
        <v>1892315.0000000005</v>
      </c>
      <c r="U86" s="178">
        <f t="shared" si="91"/>
        <v>4802477.1200000038</v>
      </c>
      <c r="V86" s="178">
        <f t="shared" ref="V86:W86" si="93">SUM(V87:V100)</f>
        <v>59245235.879999995</v>
      </c>
      <c r="W86" s="178">
        <f t="shared" si="93"/>
        <v>78177237.140000001</v>
      </c>
    </row>
    <row r="87" spans="2:23" x14ac:dyDescent="0.25">
      <c r="B87" s="159" t="s">
        <v>313</v>
      </c>
      <c r="C87" s="100" t="s">
        <v>38</v>
      </c>
      <c r="D87" s="102" t="s">
        <v>49</v>
      </c>
      <c r="E87" s="169">
        <v>4408344.88</v>
      </c>
      <c r="F87" s="169">
        <v>2340570</v>
      </c>
      <c r="G87" s="169">
        <v>238952.87999999977</v>
      </c>
      <c r="H87" s="169">
        <v>1828822</v>
      </c>
      <c r="I87" s="169">
        <v>0</v>
      </c>
      <c r="J87" s="167">
        <v>1689738.58</v>
      </c>
      <c r="K87" s="167">
        <f t="shared" ref="K87:K100" si="94">IF(AND(G87&gt;0, J87&gt;0), MIN(J87, G87), 0)</f>
        <v>238952.87999999977</v>
      </c>
      <c r="L87" s="167">
        <f t="shared" ref="L87" si="95">IF(AND(H87&gt;0, J87&gt;0), MIN(H87, J87 - K87), 0)</f>
        <v>1450785.7000000002</v>
      </c>
      <c r="M87" s="167">
        <f t="shared" ref="M87" si="96">IF(J87&lt;0, J87, MAX(0, J87 - K87 - L87))</f>
        <v>0</v>
      </c>
      <c r="N87" s="169">
        <v>2410889.145</v>
      </c>
      <c r="O87" s="182">
        <f t="shared" ref="O87:O100" si="97">IF(N87&gt;0, MIN(N87, MAX(0, G87 - K87)), 0)</f>
        <v>0</v>
      </c>
      <c r="P87" s="182">
        <f t="shared" ref="P87:P100" si="98">IF((N87-O87)&gt;0, MIN((N87-O87), MAX(0, (H87-O87) - (L87-O87))), 0)</f>
        <v>378036.29999999981</v>
      </c>
      <c r="Q87" s="182">
        <f t="shared" ref="Q87:Q100" si="99">N87-O87-P87</f>
        <v>2032852.8450000002</v>
      </c>
      <c r="R87" s="182">
        <f t="shared" ref="R87:R100" si="100">SUM(S87:U87)</f>
        <v>307717.1549999998</v>
      </c>
      <c r="S87" s="182">
        <f t="shared" ref="S87:S100" si="101">G87-K87-O87</f>
        <v>0</v>
      </c>
      <c r="T87" s="182">
        <f t="shared" ref="T87:T100" si="102">H87-L87-P87</f>
        <v>0</v>
      </c>
      <c r="U87" s="182">
        <f t="shared" ref="U87:U100" si="103">F87-M87-Q87</f>
        <v>307717.1549999998</v>
      </c>
      <c r="V87" s="182">
        <f t="shared" ref="V87:V100" si="104">M87+Q87</f>
        <v>2032852.8450000002</v>
      </c>
      <c r="W87" s="182">
        <f t="shared" ref="W87:W100" si="105">J87+N87</f>
        <v>4100627.7250000001</v>
      </c>
    </row>
    <row r="88" spans="2:23" x14ac:dyDescent="0.25">
      <c r="B88" s="159" t="s">
        <v>314</v>
      </c>
      <c r="C88" s="100" t="s">
        <v>38</v>
      </c>
      <c r="D88" s="102" t="s">
        <v>21</v>
      </c>
      <c r="E88" s="169">
        <v>54850</v>
      </c>
      <c r="F88" s="169">
        <v>0</v>
      </c>
      <c r="G88" s="169">
        <v>0</v>
      </c>
      <c r="H88" s="169">
        <v>54850</v>
      </c>
      <c r="I88" s="169">
        <v>0</v>
      </c>
      <c r="J88" s="167">
        <v>29079.7</v>
      </c>
      <c r="K88" s="167">
        <f t="shared" si="94"/>
        <v>0</v>
      </c>
      <c r="L88" s="167">
        <f t="shared" ref="L88:L98" si="106">IF(AND(H88&gt;0, J88&gt;0), MIN(H88, J88 - K88), 0)</f>
        <v>29079.7</v>
      </c>
      <c r="M88" s="167">
        <f t="shared" ref="M88:M98" si="107">IF(J88&lt;0, J88, MAX(0, J88 - K88 - L88))</f>
        <v>0</v>
      </c>
      <c r="N88" s="169">
        <v>0</v>
      </c>
      <c r="O88" s="182">
        <f t="shared" si="97"/>
        <v>0</v>
      </c>
      <c r="P88" s="182">
        <f t="shared" si="98"/>
        <v>0</v>
      </c>
      <c r="Q88" s="182">
        <f t="shared" si="99"/>
        <v>0</v>
      </c>
      <c r="R88" s="182">
        <f t="shared" si="100"/>
        <v>25770.3</v>
      </c>
      <c r="S88" s="182">
        <f t="shared" si="101"/>
        <v>0</v>
      </c>
      <c r="T88" s="182">
        <f t="shared" si="102"/>
        <v>25770.3</v>
      </c>
      <c r="U88" s="182">
        <f t="shared" si="103"/>
        <v>0</v>
      </c>
      <c r="V88" s="182">
        <f t="shared" si="104"/>
        <v>0</v>
      </c>
      <c r="W88" s="182">
        <f t="shared" si="105"/>
        <v>29079.7</v>
      </c>
    </row>
    <row r="89" spans="2:23" x14ac:dyDescent="0.25">
      <c r="B89" s="159" t="s">
        <v>315</v>
      </c>
      <c r="C89" s="100" t="s">
        <v>38</v>
      </c>
      <c r="D89" s="102" t="s">
        <v>195</v>
      </c>
      <c r="E89" s="169">
        <v>6510590.21</v>
      </c>
      <c r="F89" s="169">
        <v>3000000</v>
      </c>
      <c r="G89" s="169">
        <v>227582.2099999995</v>
      </c>
      <c r="H89" s="169">
        <v>3283008.0000000005</v>
      </c>
      <c r="I89" s="169">
        <v>0</v>
      </c>
      <c r="J89" s="167">
        <v>3068624.44</v>
      </c>
      <c r="K89" s="167">
        <f t="shared" si="94"/>
        <v>227582.2099999995</v>
      </c>
      <c r="L89" s="167">
        <f t="shared" si="106"/>
        <v>2841042.2300000004</v>
      </c>
      <c r="M89" s="167">
        <f t="shared" si="107"/>
        <v>0</v>
      </c>
      <c r="N89" s="169">
        <v>3115536.2199999997</v>
      </c>
      <c r="O89" s="182">
        <f t="shared" si="97"/>
        <v>0</v>
      </c>
      <c r="P89" s="182">
        <f t="shared" si="98"/>
        <v>441965.77</v>
      </c>
      <c r="Q89" s="182">
        <f t="shared" si="99"/>
        <v>2673570.4499999997</v>
      </c>
      <c r="R89" s="182">
        <f t="shared" si="100"/>
        <v>326429.55000000028</v>
      </c>
      <c r="S89" s="182">
        <f t="shared" si="101"/>
        <v>0</v>
      </c>
      <c r="T89" s="182">
        <f t="shared" si="102"/>
        <v>0</v>
      </c>
      <c r="U89" s="182">
        <f t="shared" si="103"/>
        <v>326429.55000000028</v>
      </c>
      <c r="V89" s="182">
        <f t="shared" si="104"/>
        <v>2673570.4499999997</v>
      </c>
      <c r="W89" s="182">
        <f t="shared" si="105"/>
        <v>6184160.6600000001</v>
      </c>
    </row>
    <row r="90" spans="2:23" x14ac:dyDescent="0.25">
      <c r="B90" s="159" t="s">
        <v>316</v>
      </c>
      <c r="C90" s="100" t="s">
        <v>38</v>
      </c>
      <c r="D90" s="102" t="s">
        <v>22</v>
      </c>
      <c r="E90" s="169">
        <v>2165703</v>
      </c>
      <c r="F90" s="169">
        <v>566803</v>
      </c>
      <c r="G90" s="169">
        <v>0</v>
      </c>
      <c r="H90" s="169">
        <v>1598900</v>
      </c>
      <c r="I90" s="169">
        <v>0</v>
      </c>
      <c r="J90" s="167">
        <v>1109931.94</v>
      </c>
      <c r="K90" s="167">
        <f t="shared" si="94"/>
        <v>0</v>
      </c>
      <c r="L90" s="167">
        <f t="shared" si="106"/>
        <v>1109931.94</v>
      </c>
      <c r="M90" s="167">
        <f t="shared" si="107"/>
        <v>0</v>
      </c>
      <c r="N90" s="169">
        <v>705133.2</v>
      </c>
      <c r="O90" s="182">
        <f t="shared" si="97"/>
        <v>0</v>
      </c>
      <c r="P90" s="182">
        <f t="shared" si="98"/>
        <v>488968.06000000006</v>
      </c>
      <c r="Q90" s="182">
        <f t="shared" si="99"/>
        <v>216165.1399999999</v>
      </c>
      <c r="R90" s="182">
        <f t="shared" si="100"/>
        <v>350637.8600000001</v>
      </c>
      <c r="S90" s="182">
        <f t="shared" si="101"/>
        <v>0</v>
      </c>
      <c r="T90" s="182">
        <f t="shared" si="102"/>
        <v>0</v>
      </c>
      <c r="U90" s="182">
        <f t="shared" si="103"/>
        <v>350637.8600000001</v>
      </c>
      <c r="V90" s="182">
        <f t="shared" si="104"/>
        <v>216165.1399999999</v>
      </c>
      <c r="W90" s="182">
        <f t="shared" si="105"/>
        <v>1815065.14</v>
      </c>
    </row>
    <row r="91" spans="2:23" x14ac:dyDescent="0.25">
      <c r="B91" s="159" t="s">
        <v>317</v>
      </c>
      <c r="C91" s="100" t="s">
        <v>38</v>
      </c>
      <c r="D91" s="102" t="s">
        <v>103</v>
      </c>
      <c r="E91" s="169">
        <v>8438449.1400000006</v>
      </c>
      <c r="F91" s="169">
        <v>3000000</v>
      </c>
      <c r="G91" s="169">
        <v>1438449.1400000001</v>
      </c>
      <c r="H91" s="169">
        <v>4000000.0000000005</v>
      </c>
      <c r="I91" s="169">
        <v>0</v>
      </c>
      <c r="J91" s="167">
        <v>1589479.99</v>
      </c>
      <c r="K91" s="167">
        <f t="shared" si="94"/>
        <v>1438449.1400000001</v>
      </c>
      <c r="L91" s="167">
        <f t="shared" si="106"/>
        <v>151030.84999999986</v>
      </c>
      <c r="M91" s="167">
        <f t="shared" si="107"/>
        <v>0</v>
      </c>
      <c r="N91" s="169">
        <v>1982424.45</v>
      </c>
      <c r="O91" s="182">
        <f t="shared" si="97"/>
        <v>0</v>
      </c>
      <c r="P91" s="182">
        <f t="shared" si="98"/>
        <v>1982424.45</v>
      </c>
      <c r="Q91" s="182">
        <f t="shared" si="99"/>
        <v>0</v>
      </c>
      <c r="R91" s="182">
        <f t="shared" si="100"/>
        <v>4866544.7</v>
      </c>
      <c r="S91" s="182">
        <f t="shared" si="101"/>
        <v>0</v>
      </c>
      <c r="T91" s="182">
        <f t="shared" si="102"/>
        <v>1866544.7000000004</v>
      </c>
      <c r="U91" s="182">
        <f t="shared" si="103"/>
        <v>3000000</v>
      </c>
      <c r="V91" s="182">
        <f t="shared" si="104"/>
        <v>0</v>
      </c>
      <c r="W91" s="182">
        <f t="shared" si="105"/>
        <v>3571904.44</v>
      </c>
    </row>
    <row r="92" spans="2:23" x14ac:dyDescent="0.25">
      <c r="B92" s="159" t="s">
        <v>318</v>
      </c>
      <c r="C92" s="100" t="s">
        <v>38</v>
      </c>
      <c r="D92" s="102" t="s">
        <v>129</v>
      </c>
      <c r="E92" s="169">
        <v>11292957.119999999</v>
      </c>
      <c r="F92" s="169">
        <v>7289000</v>
      </c>
      <c r="G92" s="169">
        <v>0</v>
      </c>
      <c r="H92" s="169">
        <v>4003957.1199999996</v>
      </c>
      <c r="I92" s="169">
        <v>0</v>
      </c>
      <c r="J92" s="167">
        <v>6489697.5899999999</v>
      </c>
      <c r="K92" s="167">
        <f t="shared" si="94"/>
        <v>0</v>
      </c>
      <c r="L92" s="167">
        <f t="shared" si="106"/>
        <v>4003957.1199999996</v>
      </c>
      <c r="M92" s="167">
        <f t="shared" si="107"/>
        <v>2485740.4700000002</v>
      </c>
      <c r="N92" s="169">
        <v>2582772.0299999998</v>
      </c>
      <c r="O92" s="182">
        <f t="shared" si="97"/>
        <v>0</v>
      </c>
      <c r="P92" s="182">
        <f t="shared" si="98"/>
        <v>0</v>
      </c>
      <c r="Q92" s="182">
        <f t="shared" si="99"/>
        <v>2582772.0299999998</v>
      </c>
      <c r="R92" s="182">
        <f t="shared" si="100"/>
        <v>2220487.4999999995</v>
      </c>
      <c r="S92" s="182">
        <f t="shared" si="101"/>
        <v>0</v>
      </c>
      <c r="T92" s="182">
        <f t="shared" si="102"/>
        <v>0</v>
      </c>
      <c r="U92" s="182">
        <f t="shared" si="103"/>
        <v>2220487.4999999995</v>
      </c>
      <c r="V92" s="182">
        <f t="shared" si="104"/>
        <v>5068512.5</v>
      </c>
      <c r="W92" s="182">
        <f t="shared" si="105"/>
        <v>9072469.6199999992</v>
      </c>
    </row>
    <row r="93" spans="2:23" x14ac:dyDescent="0.25">
      <c r="B93" s="159" t="s">
        <v>319</v>
      </c>
      <c r="C93" s="100" t="s">
        <v>38</v>
      </c>
      <c r="D93" s="102" t="s">
        <v>133</v>
      </c>
      <c r="E93" s="169">
        <v>2598813.79</v>
      </c>
      <c r="F93" s="169">
        <v>1800000</v>
      </c>
      <c r="G93" s="169">
        <v>0</v>
      </c>
      <c r="H93" s="169">
        <v>798813.79</v>
      </c>
      <c r="I93" s="169">
        <v>0</v>
      </c>
      <c r="J93" s="167">
        <v>955472.8</v>
      </c>
      <c r="K93" s="167">
        <f t="shared" si="94"/>
        <v>0</v>
      </c>
      <c r="L93" s="167">
        <f t="shared" si="106"/>
        <v>798813.79</v>
      </c>
      <c r="M93" s="167">
        <f t="shared" si="107"/>
        <v>156659.01</v>
      </c>
      <c r="N93" s="169">
        <v>133788</v>
      </c>
      <c r="O93" s="182">
        <f t="shared" si="97"/>
        <v>0</v>
      </c>
      <c r="P93" s="182">
        <f t="shared" si="98"/>
        <v>0</v>
      </c>
      <c r="Q93" s="182">
        <f t="shared" si="99"/>
        <v>133788</v>
      </c>
      <c r="R93" s="182">
        <f t="shared" si="100"/>
        <v>1509552.99</v>
      </c>
      <c r="S93" s="182">
        <f t="shared" si="101"/>
        <v>0</v>
      </c>
      <c r="T93" s="182">
        <f t="shared" si="102"/>
        <v>0</v>
      </c>
      <c r="U93" s="182">
        <f t="shared" si="103"/>
        <v>1509552.99</v>
      </c>
      <c r="V93" s="182">
        <f t="shared" si="104"/>
        <v>290447.01</v>
      </c>
      <c r="W93" s="182">
        <f t="shared" si="105"/>
        <v>1089260.8</v>
      </c>
    </row>
    <row r="94" spans="2:23" x14ac:dyDescent="0.25">
      <c r="B94" s="159" t="s">
        <v>320</v>
      </c>
      <c r="C94" s="100" t="s">
        <v>38</v>
      </c>
      <c r="D94" s="102" t="s">
        <v>71</v>
      </c>
      <c r="E94" s="169">
        <v>6178934.1899999995</v>
      </c>
      <c r="F94" s="169">
        <v>5360340</v>
      </c>
      <c r="G94" s="169">
        <v>0</v>
      </c>
      <c r="H94" s="169">
        <v>818594.19</v>
      </c>
      <c r="I94" s="169">
        <v>0</v>
      </c>
      <c r="J94" s="167">
        <v>5137928.22</v>
      </c>
      <c r="K94" s="167">
        <f t="shared" si="94"/>
        <v>0</v>
      </c>
      <c r="L94" s="167">
        <f t="shared" si="106"/>
        <v>818594.19</v>
      </c>
      <c r="M94" s="167">
        <f t="shared" si="107"/>
        <v>4319334.0299999993</v>
      </c>
      <c r="N94" s="169">
        <v>724939.84000000008</v>
      </c>
      <c r="O94" s="182">
        <f t="shared" si="97"/>
        <v>0</v>
      </c>
      <c r="P94" s="182">
        <f t="shared" si="98"/>
        <v>0</v>
      </c>
      <c r="Q94" s="182">
        <f t="shared" si="99"/>
        <v>724939.84000000008</v>
      </c>
      <c r="R94" s="182">
        <f t="shared" si="100"/>
        <v>316066.13000000059</v>
      </c>
      <c r="S94" s="182">
        <f t="shared" si="101"/>
        <v>0</v>
      </c>
      <c r="T94" s="182">
        <f t="shared" si="102"/>
        <v>0</v>
      </c>
      <c r="U94" s="182">
        <f t="shared" si="103"/>
        <v>316066.13000000059</v>
      </c>
      <c r="V94" s="182">
        <f t="shared" si="104"/>
        <v>5044273.8699999992</v>
      </c>
      <c r="W94" s="182">
        <f t="shared" si="105"/>
        <v>5862868.0599999996</v>
      </c>
    </row>
    <row r="95" spans="2:23" x14ac:dyDescent="0.25">
      <c r="B95" s="159" t="s">
        <v>321</v>
      </c>
      <c r="C95" s="100" t="s">
        <v>38</v>
      </c>
      <c r="D95" s="102" t="s">
        <v>127</v>
      </c>
      <c r="E95" s="169">
        <v>570000</v>
      </c>
      <c r="F95" s="169">
        <v>570000</v>
      </c>
      <c r="G95" s="169">
        <v>0</v>
      </c>
      <c r="H95" s="169">
        <v>0</v>
      </c>
      <c r="I95" s="169">
        <v>0</v>
      </c>
      <c r="J95" s="167">
        <v>321715.51</v>
      </c>
      <c r="K95" s="167">
        <f t="shared" si="94"/>
        <v>0</v>
      </c>
      <c r="L95" s="167">
        <f t="shared" si="106"/>
        <v>0</v>
      </c>
      <c r="M95" s="167">
        <f t="shared" si="107"/>
        <v>321715.51</v>
      </c>
      <c r="N95" s="169">
        <v>50000</v>
      </c>
      <c r="O95" s="182">
        <f t="shared" si="97"/>
        <v>0</v>
      </c>
      <c r="P95" s="182">
        <f t="shared" si="98"/>
        <v>0</v>
      </c>
      <c r="Q95" s="182">
        <f t="shared" si="99"/>
        <v>50000</v>
      </c>
      <c r="R95" s="182">
        <f t="shared" si="100"/>
        <v>198284.49</v>
      </c>
      <c r="S95" s="182">
        <f t="shared" si="101"/>
        <v>0</v>
      </c>
      <c r="T95" s="182">
        <f t="shared" si="102"/>
        <v>0</v>
      </c>
      <c r="U95" s="182">
        <f t="shared" si="103"/>
        <v>198284.49</v>
      </c>
      <c r="V95" s="182">
        <f t="shared" si="104"/>
        <v>371715.51</v>
      </c>
      <c r="W95" s="182">
        <f t="shared" si="105"/>
        <v>371715.51</v>
      </c>
    </row>
    <row r="96" spans="2:23" s="139" customFormat="1" x14ac:dyDescent="0.25">
      <c r="B96" s="162" t="s">
        <v>325</v>
      </c>
      <c r="C96" s="135" t="s">
        <v>38</v>
      </c>
      <c r="D96" s="134" t="s">
        <v>145</v>
      </c>
      <c r="E96" s="170">
        <v>5950000</v>
      </c>
      <c r="F96" s="170">
        <v>5950000</v>
      </c>
      <c r="G96" s="170">
        <v>0</v>
      </c>
      <c r="H96" s="170">
        <v>0</v>
      </c>
      <c r="I96" s="169">
        <v>0</v>
      </c>
      <c r="J96" s="141">
        <v>4467389.76</v>
      </c>
      <c r="K96" s="167">
        <f t="shared" si="94"/>
        <v>0</v>
      </c>
      <c r="L96" s="167">
        <f t="shared" si="106"/>
        <v>0</v>
      </c>
      <c r="M96" s="167">
        <f t="shared" si="107"/>
        <v>4467389.76</v>
      </c>
      <c r="N96" s="169">
        <v>1046536.13</v>
      </c>
      <c r="O96" s="182">
        <f t="shared" si="97"/>
        <v>0</v>
      </c>
      <c r="P96" s="182">
        <f t="shared" si="98"/>
        <v>0</v>
      </c>
      <c r="Q96" s="182">
        <f t="shared" si="99"/>
        <v>1046536.13</v>
      </c>
      <c r="R96" s="182">
        <f t="shared" si="100"/>
        <v>436074.11000000022</v>
      </c>
      <c r="S96" s="182">
        <f t="shared" si="101"/>
        <v>0</v>
      </c>
      <c r="T96" s="182">
        <f t="shared" si="102"/>
        <v>0</v>
      </c>
      <c r="U96" s="182">
        <f t="shared" si="103"/>
        <v>436074.11000000022</v>
      </c>
      <c r="V96" s="182">
        <f t="shared" si="104"/>
        <v>5513925.8899999997</v>
      </c>
      <c r="W96" s="182">
        <f t="shared" si="105"/>
        <v>5513925.8899999997</v>
      </c>
    </row>
    <row r="97" spans="2:23" x14ac:dyDescent="0.25">
      <c r="B97" s="159" t="s">
        <v>322</v>
      </c>
      <c r="C97" s="100" t="s">
        <v>38</v>
      </c>
      <c r="D97" s="102" t="s">
        <v>128</v>
      </c>
      <c r="E97" s="169">
        <v>5663978.7999999998</v>
      </c>
      <c r="F97" s="169">
        <v>4791000</v>
      </c>
      <c r="G97" s="169">
        <v>0</v>
      </c>
      <c r="H97" s="169">
        <v>872978.79999999981</v>
      </c>
      <c r="I97" s="169">
        <v>0</v>
      </c>
      <c r="J97" s="167">
        <v>6403122.7800000003</v>
      </c>
      <c r="K97" s="167">
        <f t="shared" si="94"/>
        <v>0</v>
      </c>
      <c r="L97" s="167">
        <f t="shared" si="106"/>
        <v>872978.79999999981</v>
      </c>
      <c r="M97" s="167">
        <f t="shared" si="107"/>
        <v>5530143.9800000004</v>
      </c>
      <c r="N97" s="169">
        <v>346726.79</v>
      </c>
      <c r="O97" s="182">
        <f t="shared" si="97"/>
        <v>0</v>
      </c>
      <c r="P97" s="182">
        <f t="shared" si="98"/>
        <v>0</v>
      </c>
      <c r="Q97" s="182">
        <f t="shared" si="99"/>
        <v>346726.79</v>
      </c>
      <c r="R97" s="182">
        <f t="shared" si="100"/>
        <v>-1085870.7700000005</v>
      </c>
      <c r="S97" s="182">
        <f t="shared" si="101"/>
        <v>0</v>
      </c>
      <c r="T97" s="182">
        <f t="shared" si="102"/>
        <v>0</v>
      </c>
      <c r="U97" s="182">
        <f t="shared" si="103"/>
        <v>-1085870.7700000005</v>
      </c>
      <c r="V97" s="182">
        <f t="shared" si="104"/>
        <v>5876870.7700000005</v>
      </c>
      <c r="W97" s="182">
        <f t="shared" si="105"/>
        <v>6749849.5700000003</v>
      </c>
    </row>
    <row r="98" spans="2:23" x14ac:dyDescent="0.25">
      <c r="B98" s="159" t="s">
        <v>323</v>
      </c>
      <c r="C98" s="108" t="s">
        <v>38</v>
      </c>
      <c r="D98" s="102" t="s">
        <v>65</v>
      </c>
      <c r="E98" s="169">
        <v>3108685.14</v>
      </c>
      <c r="F98" s="169">
        <v>2900000</v>
      </c>
      <c r="G98" s="169">
        <v>0</v>
      </c>
      <c r="H98" s="169">
        <v>208685.13999999998</v>
      </c>
      <c r="I98" s="169">
        <v>0</v>
      </c>
      <c r="J98" s="167">
        <v>2242613.0499999998</v>
      </c>
      <c r="K98" s="167">
        <f t="shared" si="94"/>
        <v>0</v>
      </c>
      <c r="L98" s="167">
        <f t="shared" si="106"/>
        <v>208685.13999999998</v>
      </c>
      <c r="M98" s="167">
        <f t="shared" si="107"/>
        <v>2033927.91</v>
      </c>
      <c r="N98" s="169">
        <v>0</v>
      </c>
      <c r="O98" s="182">
        <f t="shared" si="97"/>
        <v>0</v>
      </c>
      <c r="P98" s="182">
        <f t="shared" si="98"/>
        <v>0</v>
      </c>
      <c r="Q98" s="182">
        <f t="shared" si="99"/>
        <v>0</v>
      </c>
      <c r="R98" s="182">
        <f t="shared" si="100"/>
        <v>866072.09000000008</v>
      </c>
      <c r="S98" s="182">
        <f t="shared" si="101"/>
        <v>0</v>
      </c>
      <c r="T98" s="182">
        <f t="shared" si="102"/>
        <v>0</v>
      </c>
      <c r="U98" s="182">
        <f t="shared" si="103"/>
        <v>866072.09000000008</v>
      </c>
      <c r="V98" s="182">
        <f t="shared" si="104"/>
        <v>2033927.91</v>
      </c>
      <c r="W98" s="182">
        <f t="shared" si="105"/>
        <v>2242613.0499999998</v>
      </c>
    </row>
    <row r="99" spans="2:23" x14ac:dyDescent="0.25">
      <c r="B99" s="159" t="s">
        <v>324</v>
      </c>
      <c r="C99" s="108" t="s">
        <v>38</v>
      </c>
      <c r="D99" s="106" t="s">
        <v>134</v>
      </c>
      <c r="E99" s="172">
        <v>27930722.990000002</v>
      </c>
      <c r="F99" s="172">
        <v>26480000</v>
      </c>
      <c r="G99" s="172">
        <v>0</v>
      </c>
      <c r="H99" s="172">
        <f>11450722.99-10000000</f>
        <v>1450722.9900000002</v>
      </c>
      <c r="I99" s="172">
        <v>0</v>
      </c>
      <c r="J99" s="167">
        <v>18869666.539999999</v>
      </c>
      <c r="K99" s="167">
        <f t="shared" si="94"/>
        <v>0</v>
      </c>
      <c r="L99" s="167">
        <f>IF(AND(H99&gt;0, J99&gt;0), MIN(H99, J99 - K99), 0)</f>
        <v>1450722.9900000002</v>
      </c>
      <c r="M99" s="167">
        <f>IF(J99&lt;0, J99, MAX(0, J99 - K99 - L99))</f>
        <v>17418943.549999997</v>
      </c>
      <c r="N99" s="169">
        <v>10397984.465</v>
      </c>
      <c r="O99" s="182">
        <f t="shared" si="97"/>
        <v>0</v>
      </c>
      <c r="P99" s="182">
        <f t="shared" si="98"/>
        <v>0</v>
      </c>
      <c r="Q99" s="182">
        <f t="shared" si="99"/>
        <v>10397984.465</v>
      </c>
      <c r="R99" s="182">
        <f t="shared" si="100"/>
        <v>-1336928.0149999969</v>
      </c>
      <c r="S99" s="182">
        <f t="shared" si="101"/>
        <v>0</v>
      </c>
      <c r="T99" s="182">
        <f t="shared" si="102"/>
        <v>0</v>
      </c>
      <c r="U99" s="182">
        <f t="shared" si="103"/>
        <v>-1336928.0149999969</v>
      </c>
      <c r="V99" s="182">
        <f t="shared" si="104"/>
        <v>27816928.014999997</v>
      </c>
      <c r="W99" s="182">
        <f t="shared" si="105"/>
        <v>29267651.004999999</v>
      </c>
    </row>
    <row r="100" spans="2:23" x14ac:dyDescent="0.25">
      <c r="B100" s="159" t="s">
        <v>377</v>
      </c>
      <c r="C100" s="100" t="s">
        <v>38</v>
      </c>
      <c r="D100" s="102" t="s">
        <v>378</v>
      </c>
      <c r="E100" s="169">
        <v>0</v>
      </c>
      <c r="F100" s="169">
        <v>0</v>
      </c>
      <c r="G100" s="169">
        <v>0</v>
      </c>
      <c r="H100" s="169">
        <v>0</v>
      </c>
      <c r="I100" s="169">
        <v>0</v>
      </c>
      <c r="J100" s="169">
        <v>1250287.6399999999</v>
      </c>
      <c r="K100" s="169">
        <f t="shared" si="94"/>
        <v>0</v>
      </c>
      <c r="L100" s="169">
        <f>IF(AND(H100&gt;0, J100&gt;0), MIN(H100, J100 - K100), 0)</f>
        <v>0</v>
      </c>
      <c r="M100" s="169">
        <f>IF(J100&lt;0, J100, MAX(0, J100 - K100 - L100))</f>
        <v>1250287.6399999999</v>
      </c>
      <c r="N100" s="169">
        <v>1055758.3299999998</v>
      </c>
      <c r="O100" s="182">
        <f t="shared" si="97"/>
        <v>0</v>
      </c>
      <c r="P100" s="182">
        <f t="shared" si="98"/>
        <v>0</v>
      </c>
      <c r="Q100" s="182">
        <f t="shared" si="99"/>
        <v>1055758.3299999998</v>
      </c>
      <c r="R100" s="182">
        <f t="shared" si="100"/>
        <v>-2306045.9699999997</v>
      </c>
      <c r="S100" s="182">
        <f t="shared" si="101"/>
        <v>0</v>
      </c>
      <c r="T100" s="182">
        <f t="shared" si="102"/>
        <v>0</v>
      </c>
      <c r="U100" s="182">
        <f t="shared" si="103"/>
        <v>-2306045.9699999997</v>
      </c>
      <c r="V100" s="182">
        <f t="shared" si="104"/>
        <v>2306045.9699999997</v>
      </c>
      <c r="W100" s="182">
        <f t="shared" si="105"/>
        <v>2306045.9699999997</v>
      </c>
    </row>
    <row r="101" spans="2:23" x14ac:dyDescent="0.25">
      <c r="C101" s="86"/>
      <c r="D101" s="138"/>
      <c r="E101" s="173"/>
      <c r="F101" s="173"/>
      <c r="G101" s="173"/>
      <c r="H101" s="173"/>
      <c r="I101" s="173"/>
      <c r="J101" s="176"/>
      <c r="K101" s="176"/>
      <c r="L101" s="176"/>
      <c r="M101" s="176"/>
      <c r="N101" s="182"/>
      <c r="O101" s="177"/>
      <c r="P101" s="177"/>
      <c r="Q101" s="177"/>
      <c r="R101" s="177"/>
      <c r="S101" s="177"/>
      <c r="T101" s="177"/>
      <c r="U101" s="177"/>
      <c r="V101" s="177"/>
      <c r="W101" s="177"/>
    </row>
    <row r="102" spans="2:23" s="139" customFormat="1" x14ac:dyDescent="0.25">
      <c r="B102" s="162"/>
      <c r="C102" s="104"/>
      <c r="D102" s="101" t="s">
        <v>36</v>
      </c>
      <c r="E102" s="178">
        <f>SUM(E103:E107)+E109+E135</f>
        <v>151749015.39000002</v>
      </c>
      <c r="F102" s="178">
        <f t="shared" ref="F102:U102" si="108">SUM(F103:F107)+F109+F135</f>
        <v>70661013</v>
      </c>
      <c r="G102" s="178">
        <f t="shared" si="108"/>
        <v>56867944.190000005</v>
      </c>
      <c r="H102" s="178">
        <f t="shared" si="108"/>
        <v>24220058.200000003</v>
      </c>
      <c r="I102" s="178">
        <f t="shared" si="108"/>
        <v>0</v>
      </c>
      <c r="J102" s="178">
        <f t="shared" si="108"/>
        <v>79604397.539999992</v>
      </c>
      <c r="K102" s="178">
        <f t="shared" si="108"/>
        <v>49571939.374144442</v>
      </c>
      <c r="L102" s="178">
        <f t="shared" si="108"/>
        <v>12843525.48</v>
      </c>
      <c r="M102" s="178">
        <f t="shared" si="108"/>
        <v>17188932.689999998</v>
      </c>
      <c r="N102" s="178">
        <f t="shared" si="108"/>
        <v>68284362.849999994</v>
      </c>
      <c r="O102" s="178">
        <f t="shared" si="108"/>
        <v>7174872.0958555574</v>
      </c>
      <c r="P102" s="178">
        <f t="shared" si="108"/>
        <v>11376532.719999999</v>
      </c>
      <c r="Q102" s="178">
        <f t="shared" si="108"/>
        <v>49732958.034144446</v>
      </c>
      <c r="R102" s="178">
        <f t="shared" si="108"/>
        <v>3860254.9958555605</v>
      </c>
      <c r="S102" s="178">
        <f t="shared" si="108"/>
        <v>121132.71999999996</v>
      </c>
      <c r="T102" s="178">
        <f t="shared" si="108"/>
        <v>0</v>
      </c>
      <c r="U102" s="178">
        <f t="shared" si="108"/>
        <v>3739122.2758555608</v>
      </c>
      <c r="V102" s="178">
        <f t="shared" ref="V102:W102" si="109">SUM(V103:V107)+V109+V135</f>
        <v>66921890.724144436</v>
      </c>
      <c r="W102" s="178">
        <f t="shared" si="109"/>
        <v>147888760.38999999</v>
      </c>
    </row>
    <row r="103" spans="2:23" x14ac:dyDescent="0.25">
      <c r="B103" s="163">
        <v>108000</v>
      </c>
      <c r="C103" s="100" t="s">
        <v>147</v>
      </c>
      <c r="D103" s="106" t="s">
        <v>356</v>
      </c>
      <c r="E103" s="172">
        <v>3532796</v>
      </c>
      <c r="F103" s="172">
        <v>0</v>
      </c>
      <c r="G103" s="172">
        <v>0</v>
      </c>
      <c r="H103" s="172">
        <v>3532796</v>
      </c>
      <c r="I103" s="172">
        <v>0</v>
      </c>
      <c r="J103" s="172">
        <v>917633.58</v>
      </c>
      <c r="K103" s="172">
        <f>IF(AND(G103&gt;0, J103&gt;0), MIN(J103, G103), 0)</f>
        <v>0</v>
      </c>
      <c r="L103" s="172">
        <f t="shared" ref="L103" si="110">IF(AND(H103&gt;0, J103&gt;0), MIN(H103, J103 - K103), 0)</f>
        <v>917633.58</v>
      </c>
      <c r="M103" s="172">
        <f t="shared" ref="M103" si="111">IF(J103&lt;0, J103, MAX(0, J103 - K103 - L103))</f>
        <v>0</v>
      </c>
      <c r="N103" s="172">
        <v>2615162.42</v>
      </c>
      <c r="O103" s="172">
        <f>IF(N103&gt;0, MIN(N103, MAX(0, G103 - K103)), 0)</f>
        <v>0</v>
      </c>
      <c r="P103" s="172">
        <f t="shared" ref="P103:P107" si="112">IF((N103-O103)&gt;0, MIN((N103-O103), MAX(0, (H103-O103) - (L103-O103))), 0)</f>
        <v>2615162.42</v>
      </c>
      <c r="Q103" s="172">
        <f t="shared" ref="Q103:Q107" si="113">N103-O103-P103</f>
        <v>0</v>
      </c>
      <c r="R103" s="172">
        <f t="shared" ref="R103:R107" si="114">SUM(S103:U103)</f>
        <v>0</v>
      </c>
      <c r="S103" s="172">
        <f>G103-K103-O103</f>
        <v>0</v>
      </c>
      <c r="T103" s="172">
        <f t="shared" ref="T103:T107" si="115">H103-L103-P103</f>
        <v>0</v>
      </c>
      <c r="U103" s="172">
        <f>F103-M103-Q103</f>
        <v>0</v>
      </c>
      <c r="V103" s="182">
        <f t="shared" ref="V103:V107" si="116">M103+Q103</f>
        <v>0</v>
      </c>
      <c r="W103" s="182">
        <f>J103+N103</f>
        <v>3532796</v>
      </c>
    </row>
    <row r="104" spans="2:23" x14ac:dyDescent="0.25">
      <c r="B104" s="164">
        <v>108100</v>
      </c>
      <c r="C104" s="135" t="s">
        <v>147</v>
      </c>
      <c r="D104" s="138" t="s">
        <v>359</v>
      </c>
      <c r="E104" s="172">
        <v>2500000</v>
      </c>
      <c r="F104" s="172">
        <v>2500000</v>
      </c>
      <c r="G104" s="172">
        <v>0</v>
      </c>
      <c r="H104" s="172">
        <v>0</v>
      </c>
      <c r="I104" s="172">
        <v>0</v>
      </c>
      <c r="J104" s="172">
        <v>813628.7</v>
      </c>
      <c r="K104" s="172">
        <f>IF(AND(G104&gt;0, J104&gt;0), MIN(J104, G104), 0)</f>
        <v>0</v>
      </c>
      <c r="L104" s="172">
        <f t="shared" ref="L104:L107" si="117">IF(AND(H104&gt;0, J104&gt;0), MIN(H104, J104 - K104), 0)</f>
        <v>0</v>
      </c>
      <c r="M104" s="172">
        <f t="shared" ref="M104:M107" si="118">IF(J104&lt;0, J104, MAX(0, J104 - K104 - L104))</f>
        <v>813628.7</v>
      </c>
      <c r="N104" s="172">
        <v>1686371.3</v>
      </c>
      <c r="O104" s="172">
        <f>IF(N104&gt;0, MIN(N104, MAX(0, G104 - K104)), 0)</f>
        <v>0</v>
      </c>
      <c r="P104" s="172">
        <f t="shared" si="112"/>
        <v>0</v>
      </c>
      <c r="Q104" s="172">
        <f t="shared" si="113"/>
        <v>1686371.3</v>
      </c>
      <c r="R104" s="172">
        <f t="shared" si="114"/>
        <v>0</v>
      </c>
      <c r="S104" s="172">
        <f>G104-K104-O104</f>
        <v>0</v>
      </c>
      <c r="T104" s="172">
        <f t="shared" si="115"/>
        <v>0</v>
      </c>
      <c r="U104" s="172">
        <f>F104-M104-Q104</f>
        <v>0</v>
      </c>
      <c r="V104" s="182">
        <f t="shared" si="116"/>
        <v>2500000</v>
      </c>
      <c r="W104" s="182">
        <f>J104+N104</f>
        <v>2500000</v>
      </c>
    </row>
    <row r="105" spans="2:23" x14ac:dyDescent="0.25">
      <c r="B105" s="164">
        <v>108200</v>
      </c>
      <c r="C105" s="135">
        <v>53806</v>
      </c>
      <c r="D105" s="138" t="s">
        <v>348</v>
      </c>
      <c r="E105" s="172">
        <v>6441041.1900000004</v>
      </c>
      <c r="F105" s="172">
        <v>0</v>
      </c>
      <c r="G105" s="172">
        <v>720360.78</v>
      </c>
      <c r="H105" s="172">
        <v>5720680.4100000001</v>
      </c>
      <c r="I105" s="172">
        <v>0</v>
      </c>
      <c r="J105" s="172">
        <v>0</v>
      </c>
      <c r="K105" s="172">
        <f>IF(AND(G105&gt;0, J105&gt;0), MIN(J105, G105), 0)</f>
        <v>0</v>
      </c>
      <c r="L105" s="172">
        <f t="shared" si="117"/>
        <v>0</v>
      </c>
      <c r="M105" s="172">
        <f t="shared" si="118"/>
        <v>0</v>
      </c>
      <c r="N105" s="172">
        <v>6441041.1900000004</v>
      </c>
      <c r="O105" s="172">
        <f>IF(N105&gt;0, MIN(N105, MAX(0, G105 - K105)), 0)</f>
        <v>720360.78</v>
      </c>
      <c r="P105" s="172">
        <f t="shared" si="112"/>
        <v>5720680.4100000001</v>
      </c>
      <c r="Q105" s="172">
        <f t="shared" si="113"/>
        <v>0</v>
      </c>
      <c r="R105" s="172">
        <f t="shared" si="114"/>
        <v>0</v>
      </c>
      <c r="S105" s="172">
        <f>G105-K105-O105</f>
        <v>0</v>
      </c>
      <c r="T105" s="172">
        <f t="shared" si="115"/>
        <v>0</v>
      </c>
      <c r="U105" s="172">
        <f>F105-M105-Q105</f>
        <v>0</v>
      </c>
      <c r="V105" s="182">
        <f t="shared" si="116"/>
        <v>0</v>
      </c>
      <c r="W105" s="182">
        <f>J105+N105</f>
        <v>6441041.1900000004</v>
      </c>
    </row>
    <row r="106" spans="2:23" x14ac:dyDescent="0.25">
      <c r="B106" s="164">
        <v>108003</v>
      </c>
      <c r="C106" s="135" t="s">
        <v>147</v>
      </c>
      <c r="D106" s="138" t="s">
        <v>345</v>
      </c>
      <c r="E106" s="172">
        <v>6634542.7800000003</v>
      </c>
      <c r="F106" s="172">
        <v>0</v>
      </c>
      <c r="G106" s="172">
        <v>0</v>
      </c>
      <c r="H106" s="172">
        <v>6634542.7800000003</v>
      </c>
      <c r="I106" s="172">
        <v>0</v>
      </c>
      <c r="J106" s="172">
        <v>6634542.7800000003</v>
      </c>
      <c r="K106" s="172">
        <f>IF(AND(G106&gt;0, J106&gt;0), MIN(J106, G106), 0)</f>
        <v>0</v>
      </c>
      <c r="L106" s="172">
        <f t="shared" si="117"/>
        <v>6634542.7800000003</v>
      </c>
      <c r="M106" s="172">
        <f t="shared" si="118"/>
        <v>0</v>
      </c>
      <c r="N106" s="172">
        <v>0</v>
      </c>
      <c r="O106" s="172">
        <f>IF(N106&gt;0, MIN(N106, MAX(0, G106 - K106)), 0)</f>
        <v>0</v>
      </c>
      <c r="P106" s="172">
        <f t="shared" si="112"/>
        <v>0</v>
      </c>
      <c r="Q106" s="172">
        <f t="shared" si="113"/>
        <v>0</v>
      </c>
      <c r="R106" s="172">
        <f t="shared" si="114"/>
        <v>0</v>
      </c>
      <c r="S106" s="172">
        <f>G106-K106-O106</f>
        <v>0</v>
      </c>
      <c r="T106" s="172">
        <f t="shared" si="115"/>
        <v>0</v>
      </c>
      <c r="U106" s="172">
        <f>F106-M106-Q106</f>
        <v>0</v>
      </c>
      <c r="V106" s="182">
        <f t="shared" si="116"/>
        <v>0</v>
      </c>
      <c r="W106" s="182">
        <f>J106+N106</f>
        <v>6634542.7800000003</v>
      </c>
    </row>
    <row r="107" spans="2:23" x14ac:dyDescent="0.25">
      <c r="B107" s="164">
        <v>108103</v>
      </c>
      <c r="C107" s="135" t="s">
        <v>147</v>
      </c>
      <c r="D107" s="138" t="s">
        <v>212</v>
      </c>
      <c r="E107" s="172">
        <v>7500000</v>
      </c>
      <c r="F107" s="172">
        <v>7500000</v>
      </c>
      <c r="G107" s="172">
        <v>0</v>
      </c>
      <c r="H107" s="172">
        <v>0</v>
      </c>
      <c r="I107" s="172">
        <v>0</v>
      </c>
      <c r="J107" s="172">
        <v>3180688.8099999996</v>
      </c>
      <c r="K107" s="172">
        <f>IF(AND(G107&gt;0, J107&gt;0), MIN(J107, G107), 0)</f>
        <v>0</v>
      </c>
      <c r="L107" s="172">
        <f t="shared" si="117"/>
        <v>0</v>
      </c>
      <c r="M107" s="172">
        <f t="shared" si="118"/>
        <v>3180688.8099999996</v>
      </c>
      <c r="N107" s="172">
        <v>4319311.1900000004</v>
      </c>
      <c r="O107" s="172">
        <f>IF(N107&gt;0, MIN(N107, MAX(0, G107 - K107)), 0)</f>
        <v>0</v>
      </c>
      <c r="P107" s="172">
        <f t="shared" si="112"/>
        <v>0</v>
      </c>
      <c r="Q107" s="172">
        <f t="shared" si="113"/>
        <v>4319311.1900000004</v>
      </c>
      <c r="R107" s="172">
        <f t="shared" si="114"/>
        <v>0</v>
      </c>
      <c r="S107" s="172">
        <f>G107-K107-O107</f>
        <v>0</v>
      </c>
      <c r="T107" s="172">
        <f t="shared" si="115"/>
        <v>0</v>
      </c>
      <c r="U107" s="172">
        <f>F107-M107-Q107</f>
        <v>0</v>
      </c>
      <c r="V107" s="182">
        <f t="shared" si="116"/>
        <v>7500000</v>
      </c>
      <c r="W107" s="182">
        <f>J107+N107</f>
        <v>7500000</v>
      </c>
    </row>
    <row r="108" spans="2:23" x14ac:dyDescent="0.25">
      <c r="B108" s="164"/>
      <c r="C108" s="135"/>
      <c r="D108" s="138"/>
      <c r="E108" s="171"/>
      <c r="F108" s="171"/>
      <c r="G108" s="171"/>
      <c r="H108" s="171"/>
      <c r="I108" s="171"/>
      <c r="J108" s="167"/>
      <c r="K108" s="167"/>
      <c r="L108" s="167"/>
      <c r="M108" s="16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</row>
    <row r="109" spans="2:23" x14ac:dyDescent="0.25">
      <c r="B109" s="164"/>
      <c r="C109" s="188" t="s">
        <v>147</v>
      </c>
      <c r="D109" s="189" t="s">
        <v>363</v>
      </c>
      <c r="E109" s="187">
        <f>SUM(E110:E133)</f>
        <v>68302259.329999998</v>
      </c>
      <c r="F109" s="187">
        <f t="shared" ref="F109:M109" si="119">SUM(F110:F133)</f>
        <v>60661012.999999993</v>
      </c>
      <c r="G109" s="187">
        <f t="shared" si="119"/>
        <v>0</v>
      </c>
      <c r="H109" s="187">
        <f t="shared" si="119"/>
        <v>7641246.330000001</v>
      </c>
      <c r="I109" s="187">
        <f t="shared" si="119"/>
        <v>0</v>
      </c>
      <c r="J109" s="187">
        <f t="shared" si="119"/>
        <v>19302379.399999999</v>
      </c>
      <c r="K109" s="187">
        <f t="shared" si="119"/>
        <v>0</v>
      </c>
      <c r="L109" s="187">
        <f t="shared" si="119"/>
        <v>5291349.120000001</v>
      </c>
      <c r="M109" s="187">
        <f t="shared" si="119"/>
        <v>14011030.279999999</v>
      </c>
      <c r="N109" s="187">
        <f t="shared" ref="N109" si="120">SUM(N110:N133)</f>
        <v>45139624.929999992</v>
      </c>
      <c r="O109" s="187">
        <f t="shared" ref="O109:P109" si="121">SUM(O110:O133)</f>
        <v>0</v>
      </c>
      <c r="P109" s="187">
        <f t="shared" si="121"/>
        <v>2349897.21</v>
      </c>
      <c r="Q109" s="187">
        <f t="shared" ref="Q109:U109" si="122">SUM(Q110:Q133)</f>
        <v>42789727.719999999</v>
      </c>
      <c r="R109" s="187">
        <f t="shared" si="122"/>
        <v>3860255.0000000019</v>
      </c>
      <c r="S109" s="187">
        <f t="shared" si="122"/>
        <v>0</v>
      </c>
      <c r="T109" s="187">
        <f t="shared" si="122"/>
        <v>0</v>
      </c>
      <c r="U109" s="187">
        <f t="shared" si="122"/>
        <v>3860255.0000000019</v>
      </c>
      <c r="V109" s="187">
        <f t="shared" ref="V109:W109" si="123">SUM(V110:V133)</f>
        <v>56800757.999999993</v>
      </c>
      <c r="W109" s="187">
        <f t="shared" si="123"/>
        <v>64442004.329999991</v>
      </c>
    </row>
    <row r="110" spans="2:23" x14ac:dyDescent="0.25">
      <c r="B110" s="164">
        <v>108001</v>
      </c>
      <c r="C110" s="135" t="s">
        <v>147</v>
      </c>
      <c r="D110" s="138" t="s">
        <v>346</v>
      </c>
      <c r="E110" s="172">
        <v>3872626.26</v>
      </c>
      <c r="F110" s="172">
        <v>0</v>
      </c>
      <c r="G110" s="172">
        <v>0</v>
      </c>
      <c r="H110" s="172">
        <v>3872626.26</v>
      </c>
      <c r="I110" s="172">
        <v>0</v>
      </c>
      <c r="J110" s="172">
        <v>1825925.31</v>
      </c>
      <c r="K110" s="172">
        <f t="shared" ref="K110:K133" si="124">IF(AND(G110&gt;0, J110&gt;0), MIN(J110, G110), 0)</f>
        <v>0</v>
      </c>
      <c r="L110" s="172">
        <f t="shared" ref="L110" si="125">IF(AND(H110&gt;0, J110&gt;0), MIN(H110, J110 - K110), 0)</f>
        <v>1825925.31</v>
      </c>
      <c r="M110" s="172">
        <f t="shared" ref="M110" si="126">IF(J110&lt;0, J110, MAX(0, J110 - K110 - L110))</f>
        <v>0</v>
      </c>
      <c r="N110" s="172">
        <v>2046700.9499999997</v>
      </c>
      <c r="O110" s="182">
        <f t="shared" ref="O110:O133" si="127">IF(N110&gt;0, MIN(N110, MAX(0, G110 - K110)), 0)</f>
        <v>0</v>
      </c>
      <c r="P110" s="182">
        <f t="shared" ref="P110:P133" si="128">IF((N110-O110)&gt;0, MIN((N110-O110), MAX(0, (H110-O110) - (L110-O110))), 0)</f>
        <v>2046700.9499999997</v>
      </c>
      <c r="Q110" s="182">
        <f t="shared" ref="Q110:Q133" si="129">N110-O110-P110</f>
        <v>0</v>
      </c>
      <c r="R110" s="182">
        <f t="shared" ref="R110:R133" si="130">SUM(S110:U110)</f>
        <v>0</v>
      </c>
      <c r="S110" s="182">
        <f t="shared" ref="S110:S133" si="131">G110-K110-O110</f>
        <v>0</v>
      </c>
      <c r="T110" s="182">
        <f t="shared" ref="T110:T133" si="132">H110-L110-P110</f>
        <v>0</v>
      </c>
      <c r="U110" s="182">
        <f t="shared" ref="U110:U133" si="133">F110-M110-Q110</f>
        <v>0</v>
      </c>
      <c r="V110" s="182">
        <f t="shared" ref="V110:V133" si="134">M110+Q110</f>
        <v>0</v>
      </c>
      <c r="W110" s="182">
        <f t="shared" ref="W110:W133" si="135">J110+N110</f>
        <v>3872626.26</v>
      </c>
    </row>
    <row r="111" spans="2:23" x14ac:dyDescent="0.25">
      <c r="B111" s="164">
        <v>108102</v>
      </c>
      <c r="C111" s="135" t="s">
        <v>147</v>
      </c>
      <c r="D111" s="138" t="s">
        <v>347</v>
      </c>
      <c r="E111" s="172">
        <v>3860255</v>
      </c>
      <c r="F111" s="172">
        <v>3860255</v>
      </c>
      <c r="G111" s="172">
        <v>0</v>
      </c>
      <c r="H111" s="172">
        <v>0</v>
      </c>
      <c r="I111" s="172">
        <v>0</v>
      </c>
      <c r="J111" s="172">
        <v>0</v>
      </c>
      <c r="K111" s="172">
        <f t="shared" si="124"/>
        <v>0</v>
      </c>
      <c r="L111" s="172">
        <f t="shared" ref="L111:L132" si="136">IF(AND(H111&gt;0, J111&gt;0), MIN(H111, J111 - K111), 0)</f>
        <v>0</v>
      </c>
      <c r="M111" s="172">
        <f t="shared" ref="M111:M132" si="137">IF(J111&lt;0, J111, MAX(0, J111 - K111 - L111))</f>
        <v>0</v>
      </c>
      <c r="N111" s="172">
        <v>0</v>
      </c>
      <c r="O111" s="182">
        <f t="shared" si="127"/>
        <v>0</v>
      </c>
      <c r="P111" s="182">
        <f t="shared" si="128"/>
        <v>0</v>
      </c>
      <c r="Q111" s="182">
        <f t="shared" si="129"/>
        <v>0</v>
      </c>
      <c r="R111" s="182">
        <f t="shared" si="130"/>
        <v>3860255</v>
      </c>
      <c r="S111" s="182">
        <f t="shared" si="131"/>
        <v>0</v>
      </c>
      <c r="T111" s="182">
        <f t="shared" si="132"/>
        <v>0</v>
      </c>
      <c r="U111" s="182">
        <f t="shared" si="133"/>
        <v>3860255</v>
      </c>
      <c r="V111" s="182">
        <f t="shared" si="134"/>
        <v>0</v>
      </c>
      <c r="W111" s="182">
        <f t="shared" si="135"/>
        <v>0</v>
      </c>
    </row>
    <row r="112" spans="2:23" x14ac:dyDescent="0.25">
      <c r="B112" s="164">
        <v>108101</v>
      </c>
      <c r="C112" s="135" t="s">
        <v>147</v>
      </c>
      <c r="D112" s="138" t="s">
        <v>343</v>
      </c>
      <c r="E112" s="172">
        <v>1571778.0100000016</v>
      </c>
      <c r="F112" s="172">
        <v>1571778.0100000016</v>
      </c>
      <c r="G112" s="172">
        <v>0</v>
      </c>
      <c r="H112" s="172">
        <v>0</v>
      </c>
      <c r="I112" s="172">
        <v>0</v>
      </c>
      <c r="J112" s="172">
        <v>0</v>
      </c>
      <c r="K112" s="172">
        <f t="shared" si="124"/>
        <v>0</v>
      </c>
      <c r="L112" s="172">
        <f t="shared" si="136"/>
        <v>0</v>
      </c>
      <c r="M112" s="172">
        <f t="shared" si="137"/>
        <v>0</v>
      </c>
      <c r="N112" s="172">
        <v>1571778.0100000016</v>
      </c>
      <c r="O112" s="182">
        <f t="shared" si="127"/>
        <v>0</v>
      </c>
      <c r="P112" s="182">
        <f t="shared" si="128"/>
        <v>0</v>
      </c>
      <c r="Q112" s="182">
        <f t="shared" si="129"/>
        <v>1571778.0100000016</v>
      </c>
      <c r="R112" s="182">
        <f t="shared" si="130"/>
        <v>0</v>
      </c>
      <c r="S112" s="182">
        <f t="shared" si="131"/>
        <v>0</v>
      </c>
      <c r="T112" s="182">
        <f t="shared" si="132"/>
        <v>0</v>
      </c>
      <c r="U112" s="182">
        <f t="shared" si="133"/>
        <v>0</v>
      </c>
      <c r="V112" s="182">
        <f t="shared" si="134"/>
        <v>1571778.0100000016</v>
      </c>
      <c r="W112" s="182">
        <f t="shared" si="135"/>
        <v>1571778.0100000016</v>
      </c>
    </row>
    <row r="113" spans="2:23" x14ac:dyDescent="0.25">
      <c r="B113" s="164">
        <v>108008</v>
      </c>
      <c r="C113" s="135" t="s">
        <v>147</v>
      </c>
      <c r="D113" s="138" t="s">
        <v>344</v>
      </c>
      <c r="E113" s="172">
        <v>225000</v>
      </c>
      <c r="F113" s="172">
        <v>225000</v>
      </c>
      <c r="G113" s="172">
        <v>0</v>
      </c>
      <c r="H113" s="172">
        <v>0</v>
      </c>
      <c r="I113" s="172">
        <v>0</v>
      </c>
      <c r="J113" s="172">
        <v>206396.82</v>
      </c>
      <c r="K113" s="172">
        <f t="shared" si="124"/>
        <v>0</v>
      </c>
      <c r="L113" s="172">
        <f t="shared" si="136"/>
        <v>0</v>
      </c>
      <c r="M113" s="172">
        <f t="shared" si="137"/>
        <v>206396.82</v>
      </c>
      <c r="N113" s="172">
        <v>18603.179999999993</v>
      </c>
      <c r="O113" s="182">
        <f t="shared" si="127"/>
        <v>0</v>
      </c>
      <c r="P113" s="182">
        <f t="shared" si="128"/>
        <v>0</v>
      </c>
      <c r="Q113" s="182">
        <f t="shared" si="129"/>
        <v>18603.179999999993</v>
      </c>
      <c r="R113" s="182">
        <f t="shared" si="130"/>
        <v>0</v>
      </c>
      <c r="S113" s="182">
        <f t="shared" si="131"/>
        <v>0</v>
      </c>
      <c r="T113" s="182">
        <f t="shared" si="132"/>
        <v>0</v>
      </c>
      <c r="U113" s="182">
        <f t="shared" si="133"/>
        <v>0</v>
      </c>
      <c r="V113" s="182">
        <f t="shared" si="134"/>
        <v>225000</v>
      </c>
      <c r="W113" s="182">
        <f t="shared" si="135"/>
        <v>225000</v>
      </c>
    </row>
    <row r="114" spans="2:23" x14ac:dyDescent="0.25">
      <c r="B114" s="163">
        <v>108004</v>
      </c>
      <c r="C114" s="100" t="s">
        <v>147</v>
      </c>
      <c r="D114" s="138" t="s">
        <v>251</v>
      </c>
      <c r="E114" s="172">
        <v>928380</v>
      </c>
      <c r="F114" s="172">
        <v>928380</v>
      </c>
      <c r="G114" s="172">
        <v>0</v>
      </c>
      <c r="H114" s="172">
        <v>0</v>
      </c>
      <c r="I114" s="172">
        <v>0</v>
      </c>
      <c r="J114" s="172">
        <v>628380</v>
      </c>
      <c r="K114" s="172">
        <f t="shared" si="124"/>
        <v>0</v>
      </c>
      <c r="L114" s="172">
        <f t="shared" si="136"/>
        <v>0</v>
      </c>
      <c r="M114" s="172">
        <f t="shared" si="137"/>
        <v>628380</v>
      </c>
      <c r="N114" s="172">
        <v>300000.33999999997</v>
      </c>
      <c r="O114" s="182">
        <f t="shared" si="127"/>
        <v>0</v>
      </c>
      <c r="P114" s="182">
        <f t="shared" si="128"/>
        <v>0</v>
      </c>
      <c r="Q114" s="182">
        <f t="shared" si="129"/>
        <v>300000.33999999997</v>
      </c>
      <c r="R114" s="182">
        <f t="shared" si="130"/>
        <v>-0.33999999996740371</v>
      </c>
      <c r="S114" s="182">
        <f t="shared" si="131"/>
        <v>0</v>
      </c>
      <c r="T114" s="182">
        <f t="shared" si="132"/>
        <v>0</v>
      </c>
      <c r="U114" s="182">
        <f t="shared" si="133"/>
        <v>-0.33999999996740371</v>
      </c>
      <c r="V114" s="182">
        <f t="shared" si="134"/>
        <v>928380.34</v>
      </c>
      <c r="W114" s="182">
        <f t="shared" si="135"/>
        <v>928380.34</v>
      </c>
    </row>
    <row r="115" spans="2:23" x14ac:dyDescent="0.25">
      <c r="B115" s="163">
        <v>108005</v>
      </c>
      <c r="C115" s="100" t="s">
        <v>147</v>
      </c>
      <c r="D115" s="138" t="s">
        <v>252</v>
      </c>
      <c r="E115" s="172">
        <v>7279268.4000000004</v>
      </c>
      <c r="F115" s="172">
        <v>6113556</v>
      </c>
      <c r="G115" s="172">
        <v>0</v>
      </c>
      <c r="H115" s="172">
        <v>1165712.4000000004</v>
      </c>
      <c r="I115" s="172">
        <v>0</v>
      </c>
      <c r="J115" s="172">
        <v>1806938.45</v>
      </c>
      <c r="K115" s="172">
        <f t="shared" si="124"/>
        <v>0</v>
      </c>
      <c r="L115" s="172">
        <f t="shared" si="136"/>
        <v>1165712.4000000004</v>
      </c>
      <c r="M115" s="172">
        <f t="shared" si="137"/>
        <v>641226.04999999958</v>
      </c>
      <c r="N115" s="172">
        <v>5472329.8299999991</v>
      </c>
      <c r="O115" s="182">
        <f t="shared" si="127"/>
        <v>0</v>
      </c>
      <c r="P115" s="182">
        <f t="shared" si="128"/>
        <v>0</v>
      </c>
      <c r="Q115" s="182">
        <f t="shared" si="129"/>
        <v>5472329.8299999991</v>
      </c>
      <c r="R115" s="182">
        <f t="shared" si="130"/>
        <v>0.12000000104308128</v>
      </c>
      <c r="S115" s="182">
        <f t="shared" si="131"/>
        <v>0</v>
      </c>
      <c r="T115" s="182">
        <f t="shared" si="132"/>
        <v>0</v>
      </c>
      <c r="U115" s="182">
        <f t="shared" si="133"/>
        <v>0.12000000104308128</v>
      </c>
      <c r="V115" s="182">
        <f t="shared" si="134"/>
        <v>6113555.879999999</v>
      </c>
      <c r="W115" s="182">
        <f t="shared" si="135"/>
        <v>7279268.2799999993</v>
      </c>
    </row>
    <row r="116" spans="2:23" x14ac:dyDescent="0.25">
      <c r="B116" s="163">
        <v>108006</v>
      </c>
      <c r="C116" s="100" t="s">
        <v>147</v>
      </c>
      <c r="D116" s="138" t="s">
        <v>253</v>
      </c>
      <c r="E116" s="172">
        <v>8341674.0300000003</v>
      </c>
      <c r="F116" s="172">
        <v>7994930</v>
      </c>
      <c r="G116" s="172">
        <v>0</v>
      </c>
      <c r="H116" s="172">
        <v>346744.03000000026</v>
      </c>
      <c r="I116" s="172">
        <v>0</v>
      </c>
      <c r="J116" s="172">
        <v>43547.77</v>
      </c>
      <c r="K116" s="172">
        <f t="shared" si="124"/>
        <v>0</v>
      </c>
      <c r="L116" s="172">
        <f t="shared" si="136"/>
        <v>43547.77</v>
      </c>
      <c r="M116" s="172">
        <f t="shared" si="137"/>
        <v>0</v>
      </c>
      <c r="N116" s="172">
        <v>8298126.4100000001</v>
      </c>
      <c r="O116" s="182">
        <f t="shared" si="127"/>
        <v>0</v>
      </c>
      <c r="P116" s="182">
        <f t="shared" si="128"/>
        <v>303196.26000000024</v>
      </c>
      <c r="Q116" s="182">
        <f t="shared" si="129"/>
        <v>7994930.1500000004</v>
      </c>
      <c r="R116" s="182">
        <f t="shared" si="130"/>
        <v>-0.15000000037252903</v>
      </c>
      <c r="S116" s="182">
        <f t="shared" si="131"/>
        <v>0</v>
      </c>
      <c r="T116" s="182">
        <f t="shared" si="132"/>
        <v>0</v>
      </c>
      <c r="U116" s="182">
        <f t="shared" si="133"/>
        <v>-0.15000000037252903</v>
      </c>
      <c r="V116" s="182">
        <f t="shared" si="134"/>
        <v>7994930.1500000004</v>
      </c>
      <c r="W116" s="182">
        <f t="shared" si="135"/>
        <v>8341674.1799999997</v>
      </c>
    </row>
    <row r="117" spans="2:23" x14ac:dyDescent="0.25">
      <c r="B117" s="163">
        <v>108007</v>
      </c>
      <c r="C117" s="100" t="s">
        <v>147</v>
      </c>
      <c r="D117" s="138" t="s">
        <v>254</v>
      </c>
      <c r="E117" s="172">
        <v>9052763.6400000006</v>
      </c>
      <c r="F117" s="172">
        <v>6796600</v>
      </c>
      <c r="G117" s="172">
        <v>0</v>
      </c>
      <c r="H117" s="172">
        <v>2256163.6400000006</v>
      </c>
      <c r="I117" s="172">
        <v>0</v>
      </c>
      <c r="J117" s="172">
        <v>5260054.4800000004</v>
      </c>
      <c r="K117" s="172">
        <f t="shared" si="124"/>
        <v>0</v>
      </c>
      <c r="L117" s="172">
        <f t="shared" si="136"/>
        <v>2256163.6400000006</v>
      </c>
      <c r="M117" s="172">
        <f t="shared" si="137"/>
        <v>3003890.84</v>
      </c>
      <c r="N117" s="172">
        <v>3792708.7899999991</v>
      </c>
      <c r="O117" s="182">
        <f t="shared" si="127"/>
        <v>0</v>
      </c>
      <c r="P117" s="182">
        <f t="shared" si="128"/>
        <v>0</v>
      </c>
      <c r="Q117" s="182">
        <f t="shared" si="129"/>
        <v>3792708.7899999991</v>
      </c>
      <c r="R117" s="182">
        <f t="shared" si="130"/>
        <v>0.37000000104308128</v>
      </c>
      <c r="S117" s="182">
        <f t="shared" si="131"/>
        <v>0</v>
      </c>
      <c r="T117" s="182">
        <f t="shared" si="132"/>
        <v>0</v>
      </c>
      <c r="U117" s="182">
        <f t="shared" si="133"/>
        <v>0.37000000104308128</v>
      </c>
      <c r="V117" s="182">
        <f t="shared" si="134"/>
        <v>6796599.629999999</v>
      </c>
      <c r="W117" s="182">
        <f t="shared" si="135"/>
        <v>9052763.2699999996</v>
      </c>
    </row>
    <row r="118" spans="2:23" x14ac:dyDescent="0.25">
      <c r="B118" s="164">
        <v>108009</v>
      </c>
      <c r="C118" s="100" t="s">
        <v>147</v>
      </c>
      <c r="D118" s="138" t="s">
        <v>360</v>
      </c>
      <c r="E118" s="172">
        <v>2318450.39</v>
      </c>
      <c r="F118" s="172">
        <v>2318450.39</v>
      </c>
      <c r="G118" s="172">
        <v>0</v>
      </c>
      <c r="H118" s="172">
        <v>0</v>
      </c>
      <c r="I118" s="172">
        <v>0</v>
      </c>
      <c r="J118" s="172">
        <v>421364.05</v>
      </c>
      <c r="K118" s="172">
        <f t="shared" si="124"/>
        <v>0</v>
      </c>
      <c r="L118" s="172">
        <f t="shared" si="136"/>
        <v>0</v>
      </c>
      <c r="M118" s="172">
        <f t="shared" si="137"/>
        <v>421364.05</v>
      </c>
      <c r="N118" s="172">
        <v>1897086.34</v>
      </c>
      <c r="O118" s="182">
        <f t="shared" si="127"/>
        <v>0</v>
      </c>
      <c r="P118" s="182">
        <f t="shared" si="128"/>
        <v>0</v>
      </c>
      <c r="Q118" s="182">
        <f t="shared" si="129"/>
        <v>1897086.34</v>
      </c>
      <c r="R118" s="182">
        <f t="shared" si="130"/>
        <v>0</v>
      </c>
      <c r="S118" s="182">
        <f t="shared" si="131"/>
        <v>0</v>
      </c>
      <c r="T118" s="182">
        <f t="shared" si="132"/>
        <v>0</v>
      </c>
      <c r="U118" s="182">
        <f t="shared" si="133"/>
        <v>0</v>
      </c>
      <c r="V118" s="182">
        <f t="shared" si="134"/>
        <v>2318450.39</v>
      </c>
      <c r="W118" s="182">
        <f t="shared" si="135"/>
        <v>2318450.39</v>
      </c>
    </row>
    <row r="119" spans="2:23" x14ac:dyDescent="0.25">
      <c r="B119" s="164">
        <v>108010</v>
      </c>
      <c r="C119" s="100" t="s">
        <v>147</v>
      </c>
      <c r="D119" s="138" t="s">
        <v>329</v>
      </c>
      <c r="E119" s="172">
        <v>2576039.9900000002</v>
      </c>
      <c r="F119" s="172">
        <v>2576039.9900000002</v>
      </c>
      <c r="G119" s="172">
        <v>0</v>
      </c>
      <c r="H119" s="172">
        <v>0</v>
      </c>
      <c r="I119" s="172">
        <v>0</v>
      </c>
      <c r="J119" s="172">
        <v>823251.51</v>
      </c>
      <c r="K119" s="172">
        <f t="shared" si="124"/>
        <v>0</v>
      </c>
      <c r="L119" s="172">
        <f t="shared" si="136"/>
        <v>0</v>
      </c>
      <c r="M119" s="172">
        <f t="shared" si="137"/>
        <v>823251.51</v>
      </c>
      <c r="N119" s="172">
        <v>1752788.4800000002</v>
      </c>
      <c r="O119" s="182">
        <f t="shared" si="127"/>
        <v>0</v>
      </c>
      <c r="P119" s="182">
        <f t="shared" si="128"/>
        <v>0</v>
      </c>
      <c r="Q119" s="182">
        <f t="shared" si="129"/>
        <v>1752788.4800000002</v>
      </c>
      <c r="R119" s="182">
        <f t="shared" si="130"/>
        <v>0</v>
      </c>
      <c r="S119" s="182">
        <f t="shared" si="131"/>
        <v>0</v>
      </c>
      <c r="T119" s="182">
        <f t="shared" si="132"/>
        <v>0</v>
      </c>
      <c r="U119" s="182">
        <f t="shared" si="133"/>
        <v>0</v>
      </c>
      <c r="V119" s="182">
        <f t="shared" si="134"/>
        <v>2576039.9900000002</v>
      </c>
      <c r="W119" s="182">
        <f t="shared" si="135"/>
        <v>2576039.9900000002</v>
      </c>
    </row>
    <row r="120" spans="2:23" x14ac:dyDescent="0.25">
      <c r="B120" s="164">
        <v>108011</v>
      </c>
      <c r="C120" s="100" t="s">
        <v>147</v>
      </c>
      <c r="D120" s="138" t="s">
        <v>330</v>
      </c>
      <c r="E120" s="172">
        <v>500000</v>
      </c>
      <c r="F120" s="172">
        <v>500000</v>
      </c>
      <c r="G120" s="172">
        <v>0</v>
      </c>
      <c r="H120" s="172">
        <v>0</v>
      </c>
      <c r="I120" s="172">
        <v>0</v>
      </c>
      <c r="J120" s="172">
        <v>221673.2</v>
      </c>
      <c r="K120" s="172">
        <f t="shared" si="124"/>
        <v>0</v>
      </c>
      <c r="L120" s="172">
        <f t="shared" si="136"/>
        <v>0</v>
      </c>
      <c r="M120" s="172">
        <f t="shared" si="137"/>
        <v>221673.2</v>
      </c>
      <c r="N120" s="172">
        <v>278326.8</v>
      </c>
      <c r="O120" s="182">
        <f t="shared" si="127"/>
        <v>0</v>
      </c>
      <c r="P120" s="182">
        <f t="shared" si="128"/>
        <v>0</v>
      </c>
      <c r="Q120" s="182">
        <f t="shared" si="129"/>
        <v>278326.8</v>
      </c>
      <c r="R120" s="182">
        <f t="shared" si="130"/>
        <v>0</v>
      </c>
      <c r="S120" s="182">
        <f t="shared" si="131"/>
        <v>0</v>
      </c>
      <c r="T120" s="182">
        <f t="shared" si="132"/>
        <v>0</v>
      </c>
      <c r="U120" s="182">
        <f t="shared" si="133"/>
        <v>0</v>
      </c>
      <c r="V120" s="182">
        <f t="shared" si="134"/>
        <v>500000</v>
      </c>
      <c r="W120" s="182">
        <f t="shared" si="135"/>
        <v>500000</v>
      </c>
    </row>
    <row r="121" spans="2:23" x14ac:dyDescent="0.25">
      <c r="B121" s="164">
        <v>108012</v>
      </c>
      <c r="C121" s="100" t="s">
        <v>147</v>
      </c>
      <c r="D121" s="138" t="s">
        <v>331</v>
      </c>
      <c r="E121" s="172">
        <v>1313893.81</v>
      </c>
      <c r="F121" s="172">
        <v>1313893.81</v>
      </c>
      <c r="G121" s="172">
        <v>0</v>
      </c>
      <c r="H121" s="172">
        <v>0</v>
      </c>
      <c r="I121" s="172">
        <v>0</v>
      </c>
      <c r="J121" s="172">
        <v>19161.75</v>
      </c>
      <c r="K121" s="172">
        <f t="shared" si="124"/>
        <v>0</v>
      </c>
      <c r="L121" s="172">
        <f t="shared" si="136"/>
        <v>0</v>
      </c>
      <c r="M121" s="172">
        <f t="shared" si="137"/>
        <v>19161.75</v>
      </c>
      <c r="N121" s="172">
        <v>1294732.06</v>
      </c>
      <c r="O121" s="182">
        <f t="shared" si="127"/>
        <v>0</v>
      </c>
      <c r="P121" s="182">
        <f t="shared" si="128"/>
        <v>0</v>
      </c>
      <c r="Q121" s="182">
        <f t="shared" si="129"/>
        <v>1294732.06</v>
      </c>
      <c r="R121" s="182">
        <f t="shared" si="130"/>
        <v>0</v>
      </c>
      <c r="S121" s="182">
        <f t="shared" si="131"/>
        <v>0</v>
      </c>
      <c r="T121" s="182">
        <f t="shared" si="132"/>
        <v>0</v>
      </c>
      <c r="U121" s="182">
        <f t="shared" si="133"/>
        <v>0</v>
      </c>
      <c r="V121" s="182">
        <f t="shared" si="134"/>
        <v>1313893.81</v>
      </c>
      <c r="W121" s="182">
        <f t="shared" si="135"/>
        <v>1313893.81</v>
      </c>
    </row>
    <row r="122" spans="2:23" x14ac:dyDescent="0.25">
      <c r="B122" s="164">
        <v>108013</v>
      </c>
      <c r="C122" s="100" t="s">
        <v>147</v>
      </c>
      <c r="D122" s="138" t="s">
        <v>332</v>
      </c>
      <c r="E122" s="172">
        <v>500000</v>
      </c>
      <c r="F122" s="172">
        <v>500000</v>
      </c>
      <c r="G122" s="172">
        <v>0</v>
      </c>
      <c r="H122" s="172">
        <v>0</v>
      </c>
      <c r="I122" s="172">
        <v>0</v>
      </c>
      <c r="J122" s="172">
        <v>81517.8</v>
      </c>
      <c r="K122" s="172">
        <f t="shared" si="124"/>
        <v>0</v>
      </c>
      <c r="L122" s="172">
        <f t="shared" si="136"/>
        <v>0</v>
      </c>
      <c r="M122" s="172">
        <f t="shared" si="137"/>
        <v>81517.8</v>
      </c>
      <c r="N122" s="172">
        <v>418482.2</v>
      </c>
      <c r="O122" s="182">
        <f t="shared" si="127"/>
        <v>0</v>
      </c>
      <c r="P122" s="182">
        <f t="shared" si="128"/>
        <v>0</v>
      </c>
      <c r="Q122" s="182">
        <f t="shared" si="129"/>
        <v>418482.2</v>
      </c>
      <c r="R122" s="182">
        <f t="shared" si="130"/>
        <v>0</v>
      </c>
      <c r="S122" s="182">
        <f t="shared" si="131"/>
        <v>0</v>
      </c>
      <c r="T122" s="182">
        <f t="shared" si="132"/>
        <v>0</v>
      </c>
      <c r="U122" s="182">
        <f t="shared" si="133"/>
        <v>0</v>
      </c>
      <c r="V122" s="182">
        <f t="shared" si="134"/>
        <v>500000</v>
      </c>
      <c r="W122" s="182">
        <f t="shared" si="135"/>
        <v>500000</v>
      </c>
    </row>
    <row r="123" spans="2:23" x14ac:dyDescent="0.25">
      <c r="B123" s="164">
        <v>108014</v>
      </c>
      <c r="C123" s="100" t="s">
        <v>147</v>
      </c>
      <c r="D123" s="138" t="s">
        <v>333</v>
      </c>
      <c r="E123" s="172">
        <v>2582737.69</v>
      </c>
      <c r="F123" s="172">
        <v>2582737.69</v>
      </c>
      <c r="G123" s="172">
        <v>0</v>
      </c>
      <c r="H123" s="172">
        <v>0</v>
      </c>
      <c r="I123" s="172">
        <v>0</v>
      </c>
      <c r="J123" s="172">
        <v>0</v>
      </c>
      <c r="K123" s="172">
        <f t="shared" si="124"/>
        <v>0</v>
      </c>
      <c r="L123" s="172">
        <f t="shared" si="136"/>
        <v>0</v>
      </c>
      <c r="M123" s="172">
        <f t="shared" si="137"/>
        <v>0</v>
      </c>
      <c r="N123" s="172">
        <v>2582737.69</v>
      </c>
      <c r="O123" s="182">
        <f t="shared" si="127"/>
        <v>0</v>
      </c>
      <c r="P123" s="182">
        <f t="shared" si="128"/>
        <v>0</v>
      </c>
      <c r="Q123" s="182">
        <f t="shared" si="129"/>
        <v>2582737.69</v>
      </c>
      <c r="R123" s="182">
        <f t="shared" si="130"/>
        <v>0</v>
      </c>
      <c r="S123" s="182">
        <f t="shared" si="131"/>
        <v>0</v>
      </c>
      <c r="T123" s="182">
        <f t="shared" si="132"/>
        <v>0</v>
      </c>
      <c r="U123" s="182">
        <f t="shared" si="133"/>
        <v>0</v>
      </c>
      <c r="V123" s="182">
        <f t="shared" si="134"/>
        <v>2582737.69</v>
      </c>
      <c r="W123" s="182">
        <f t="shared" si="135"/>
        <v>2582737.69</v>
      </c>
    </row>
    <row r="124" spans="2:23" x14ac:dyDescent="0.25">
      <c r="B124" s="164">
        <v>108015</v>
      </c>
      <c r="C124" s="100" t="s">
        <v>147</v>
      </c>
      <c r="D124" s="138" t="s">
        <v>334</v>
      </c>
      <c r="E124" s="172">
        <v>2091686.14</v>
      </c>
      <c r="F124" s="172">
        <v>2091686.14</v>
      </c>
      <c r="G124" s="172">
        <v>0</v>
      </c>
      <c r="H124" s="172">
        <v>0</v>
      </c>
      <c r="I124" s="172">
        <v>0</v>
      </c>
      <c r="J124" s="172">
        <v>0</v>
      </c>
      <c r="K124" s="172">
        <f t="shared" si="124"/>
        <v>0</v>
      </c>
      <c r="L124" s="172">
        <f t="shared" si="136"/>
        <v>0</v>
      </c>
      <c r="M124" s="172">
        <f t="shared" si="137"/>
        <v>0</v>
      </c>
      <c r="N124" s="172">
        <v>2091686.14</v>
      </c>
      <c r="O124" s="182">
        <f t="shared" si="127"/>
        <v>0</v>
      </c>
      <c r="P124" s="182">
        <f t="shared" si="128"/>
        <v>0</v>
      </c>
      <c r="Q124" s="182">
        <f t="shared" si="129"/>
        <v>2091686.14</v>
      </c>
      <c r="R124" s="182">
        <f t="shared" si="130"/>
        <v>0</v>
      </c>
      <c r="S124" s="182">
        <f t="shared" si="131"/>
        <v>0</v>
      </c>
      <c r="T124" s="182">
        <f t="shared" si="132"/>
        <v>0</v>
      </c>
      <c r="U124" s="182">
        <f t="shared" si="133"/>
        <v>0</v>
      </c>
      <c r="V124" s="182">
        <f t="shared" si="134"/>
        <v>2091686.14</v>
      </c>
      <c r="W124" s="182">
        <f t="shared" si="135"/>
        <v>2091686.14</v>
      </c>
    </row>
    <row r="125" spans="2:23" x14ac:dyDescent="0.25">
      <c r="B125" s="164">
        <v>108016</v>
      </c>
      <c r="C125" s="100" t="s">
        <v>147</v>
      </c>
      <c r="D125" s="138" t="s">
        <v>335</v>
      </c>
      <c r="E125" s="172">
        <v>3600000</v>
      </c>
      <c r="F125" s="172">
        <v>3600000</v>
      </c>
      <c r="G125" s="172">
        <v>0</v>
      </c>
      <c r="H125" s="172">
        <v>0</v>
      </c>
      <c r="I125" s="172">
        <v>0</v>
      </c>
      <c r="J125" s="172">
        <v>1752307.88</v>
      </c>
      <c r="K125" s="172">
        <f t="shared" si="124"/>
        <v>0</v>
      </c>
      <c r="L125" s="172">
        <f t="shared" si="136"/>
        <v>0</v>
      </c>
      <c r="M125" s="172">
        <f t="shared" si="137"/>
        <v>1752307.88</v>
      </c>
      <c r="N125" s="172">
        <v>1847692.12</v>
      </c>
      <c r="O125" s="182">
        <f t="shared" si="127"/>
        <v>0</v>
      </c>
      <c r="P125" s="182">
        <f t="shared" si="128"/>
        <v>0</v>
      </c>
      <c r="Q125" s="182">
        <f t="shared" si="129"/>
        <v>1847692.12</v>
      </c>
      <c r="R125" s="182">
        <f t="shared" si="130"/>
        <v>0</v>
      </c>
      <c r="S125" s="182">
        <f t="shared" si="131"/>
        <v>0</v>
      </c>
      <c r="T125" s="182">
        <f t="shared" si="132"/>
        <v>0</v>
      </c>
      <c r="U125" s="182">
        <f t="shared" si="133"/>
        <v>0</v>
      </c>
      <c r="V125" s="182">
        <f t="shared" si="134"/>
        <v>3600000</v>
      </c>
      <c r="W125" s="182">
        <f t="shared" si="135"/>
        <v>3600000</v>
      </c>
    </row>
    <row r="126" spans="2:23" x14ac:dyDescent="0.25">
      <c r="B126" s="164">
        <v>108017</v>
      </c>
      <c r="C126" s="100" t="s">
        <v>147</v>
      </c>
      <c r="D126" s="138" t="s">
        <v>336</v>
      </c>
      <c r="E126" s="172">
        <v>1581076.55</v>
      </c>
      <c r="F126" s="172">
        <v>1581076.55</v>
      </c>
      <c r="G126" s="172">
        <v>0</v>
      </c>
      <c r="H126" s="172">
        <v>0</v>
      </c>
      <c r="I126" s="172">
        <v>0</v>
      </c>
      <c r="J126" s="172">
        <v>232101.92</v>
      </c>
      <c r="K126" s="172">
        <f t="shared" si="124"/>
        <v>0</v>
      </c>
      <c r="L126" s="172">
        <f t="shared" si="136"/>
        <v>0</v>
      </c>
      <c r="M126" s="172">
        <f t="shared" si="137"/>
        <v>232101.92</v>
      </c>
      <c r="N126" s="172">
        <v>1348974.6300000001</v>
      </c>
      <c r="O126" s="182">
        <f t="shared" si="127"/>
        <v>0</v>
      </c>
      <c r="P126" s="182">
        <f t="shared" si="128"/>
        <v>0</v>
      </c>
      <c r="Q126" s="182">
        <f t="shared" si="129"/>
        <v>1348974.6300000001</v>
      </c>
      <c r="R126" s="182">
        <f t="shared" si="130"/>
        <v>0</v>
      </c>
      <c r="S126" s="182">
        <f t="shared" si="131"/>
        <v>0</v>
      </c>
      <c r="T126" s="182">
        <f t="shared" si="132"/>
        <v>0</v>
      </c>
      <c r="U126" s="182">
        <f t="shared" si="133"/>
        <v>0</v>
      </c>
      <c r="V126" s="182">
        <f t="shared" si="134"/>
        <v>1581076.55</v>
      </c>
      <c r="W126" s="182">
        <f t="shared" si="135"/>
        <v>1581076.55</v>
      </c>
    </row>
    <row r="127" spans="2:23" x14ac:dyDescent="0.25">
      <c r="B127" s="164">
        <v>108018</v>
      </c>
      <c r="C127" s="100" t="s">
        <v>147</v>
      </c>
      <c r="D127" s="138" t="s">
        <v>339</v>
      </c>
      <c r="E127" s="172">
        <v>2802129.83</v>
      </c>
      <c r="F127" s="172">
        <v>2802129.83</v>
      </c>
      <c r="G127" s="172">
        <v>0</v>
      </c>
      <c r="H127" s="172">
        <v>0</v>
      </c>
      <c r="I127" s="172">
        <v>0</v>
      </c>
      <c r="J127" s="172">
        <v>1222632.6000000001</v>
      </c>
      <c r="K127" s="172">
        <f t="shared" si="124"/>
        <v>0</v>
      </c>
      <c r="L127" s="172">
        <f t="shared" si="136"/>
        <v>0</v>
      </c>
      <c r="M127" s="172">
        <f t="shared" si="137"/>
        <v>1222632.6000000001</v>
      </c>
      <c r="N127" s="172">
        <v>1579497.23</v>
      </c>
      <c r="O127" s="182">
        <f t="shared" si="127"/>
        <v>0</v>
      </c>
      <c r="P127" s="182">
        <f t="shared" si="128"/>
        <v>0</v>
      </c>
      <c r="Q127" s="182">
        <f t="shared" si="129"/>
        <v>1579497.23</v>
      </c>
      <c r="R127" s="182">
        <f t="shared" si="130"/>
        <v>0</v>
      </c>
      <c r="S127" s="182">
        <f t="shared" si="131"/>
        <v>0</v>
      </c>
      <c r="T127" s="182">
        <f t="shared" si="132"/>
        <v>0</v>
      </c>
      <c r="U127" s="182">
        <f t="shared" si="133"/>
        <v>0</v>
      </c>
      <c r="V127" s="182">
        <f t="shared" si="134"/>
        <v>2802129.83</v>
      </c>
      <c r="W127" s="182">
        <f t="shared" si="135"/>
        <v>2802129.83</v>
      </c>
    </row>
    <row r="128" spans="2:23" x14ac:dyDescent="0.25">
      <c r="B128" s="164">
        <v>108019</v>
      </c>
      <c r="C128" s="100" t="s">
        <v>147</v>
      </c>
      <c r="D128" s="138" t="s">
        <v>338</v>
      </c>
      <c r="E128" s="172">
        <v>899640</v>
      </c>
      <c r="F128" s="172">
        <v>899640</v>
      </c>
      <c r="G128" s="172">
        <v>0</v>
      </c>
      <c r="H128" s="172">
        <v>0</v>
      </c>
      <c r="I128" s="172">
        <v>0</v>
      </c>
      <c r="J128" s="172">
        <v>212511.01</v>
      </c>
      <c r="K128" s="172">
        <f t="shared" si="124"/>
        <v>0</v>
      </c>
      <c r="L128" s="172">
        <f t="shared" si="136"/>
        <v>0</v>
      </c>
      <c r="M128" s="172">
        <f t="shared" si="137"/>
        <v>212511.01</v>
      </c>
      <c r="N128" s="172">
        <v>687128.99</v>
      </c>
      <c r="O128" s="182">
        <f t="shared" si="127"/>
        <v>0</v>
      </c>
      <c r="P128" s="182">
        <f t="shared" si="128"/>
        <v>0</v>
      </c>
      <c r="Q128" s="182">
        <f t="shared" si="129"/>
        <v>687128.99</v>
      </c>
      <c r="R128" s="182">
        <f t="shared" si="130"/>
        <v>0</v>
      </c>
      <c r="S128" s="182">
        <f t="shared" si="131"/>
        <v>0</v>
      </c>
      <c r="T128" s="182">
        <f t="shared" si="132"/>
        <v>0</v>
      </c>
      <c r="U128" s="182">
        <f t="shared" si="133"/>
        <v>0</v>
      </c>
      <c r="V128" s="182">
        <f t="shared" si="134"/>
        <v>899640</v>
      </c>
      <c r="W128" s="182">
        <f t="shared" si="135"/>
        <v>899640</v>
      </c>
    </row>
    <row r="129" spans="2:23" x14ac:dyDescent="0.25">
      <c r="B129" s="164">
        <v>108020</v>
      </c>
      <c r="C129" s="100" t="s">
        <v>147</v>
      </c>
      <c r="D129" s="138" t="s">
        <v>337</v>
      </c>
      <c r="E129" s="172">
        <v>4065169.22</v>
      </c>
      <c r="F129" s="172">
        <v>4065169.22</v>
      </c>
      <c r="G129" s="172">
        <v>0</v>
      </c>
      <c r="H129" s="172">
        <v>0</v>
      </c>
      <c r="I129" s="172">
        <v>0</v>
      </c>
      <c r="J129" s="172">
        <v>1396679.65</v>
      </c>
      <c r="K129" s="172">
        <f t="shared" si="124"/>
        <v>0</v>
      </c>
      <c r="L129" s="172">
        <f t="shared" si="136"/>
        <v>0</v>
      </c>
      <c r="M129" s="172">
        <f t="shared" si="137"/>
        <v>1396679.65</v>
      </c>
      <c r="N129" s="172">
        <v>2668489.5700000003</v>
      </c>
      <c r="O129" s="182">
        <f t="shared" si="127"/>
        <v>0</v>
      </c>
      <c r="P129" s="182">
        <f t="shared" si="128"/>
        <v>0</v>
      </c>
      <c r="Q129" s="182">
        <f t="shared" si="129"/>
        <v>2668489.5700000003</v>
      </c>
      <c r="R129" s="182">
        <f t="shared" si="130"/>
        <v>0</v>
      </c>
      <c r="S129" s="182">
        <f t="shared" si="131"/>
        <v>0</v>
      </c>
      <c r="T129" s="182">
        <f t="shared" si="132"/>
        <v>0</v>
      </c>
      <c r="U129" s="182">
        <f t="shared" si="133"/>
        <v>0</v>
      </c>
      <c r="V129" s="182">
        <f t="shared" si="134"/>
        <v>4065169.22</v>
      </c>
      <c r="W129" s="182">
        <f t="shared" si="135"/>
        <v>4065169.22</v>
      </c>
    </row>
    <row r="130" spans="2:23" x14ac:dyDescent="0.25">
      <c r="B130" s="164">
        <v>108021</v>
      </c>
      <c r="C130" s="100" t="s">
        <v>147</v>
      </c>
      <c r="D130" s="138" t="s">
        <v>340</v>
      </c>
      <c r="E130" s="172">
        <v>2779896.79</v>
      </c>
      <c r="F130" s="172">
        <v>2779896.79</v>
      </c>
      <c r="G130" s="172">
        <v>0</v>
      </c>
      <c r="H130" s="172">
        <v>0</v>
      </c>
      <c r="I130" s="172">
        <v>0</v>
      </c>
      <c r="J130" s="172">
        <v>554316.93999999994</v>
      </c>
      <c r="K130" s="172">
        <f t="shared" si="124"/>
        <v>0</v>
      </c>
      <c r="L130" s="172">
        <f t="shared" si="136"/>
        <v>0</v>
      </c>
      <c r="M130" s="172">
        <f t="shared" si="137"/>
        <v>554316.93999999994</v>
      </c>
      <c r="N130" s="172">
        <v>2225579.85</v>
      </c>
      <c r="O130" s="182">
        <f t="shared" si="127"/>
        <v>0</v>
      </c>
      <c r="P130" s="182">
        <f t="shared" si="128"/>
        <v>0</v>
      </c>
      <c r="Q130" s="182">
        <f t="shared" si="129"/>
        <v>2225579.85</v>
      </c>
      <c r="R130" s="182">
        <f t="shared" si="130"/>
        <v>0</v>
      </c>
      <c r="S130" s="182">
        <f t="shared" si="131"/>
        <v>0</v>
      </c>
      <c r="T130" s="182">
        <f t="shared" si="132"/>
        <v>0</v>
      </c>
      <c r="U130" s="182">
        <f t="shared" si="133"/>
        <v>0</v>
      </c>
      <c r="V130" s="182">
        <f t="shared" si="134"/>
        <v>2779896.79</v>
      </c>
      <c r="W130" s="182">
        <f t="shared" si="135"/>
        <v>2779896.79</v>
      </c>
    </row>
    <row r="131" spans="2:23" x14ac:dyDescent="0.25">
      <c r="B131" s="164">
        <v>108022</v>
      </c>
      <c r="C131" s="100" t="s">
        <v>147</v>
      </c>
      <c r="D131" s="138" t="s">
        <v>341</v>
      </c>
      <c r="E131" s="172">
        <v>2779896.79</v>
      </c>
      <c r="F131" s="172">
        <v>2779896.79</v>
      </c>
      <c r="G131" s="172">
        <v>0</v>
      </c>
      <c r="H131" s="172">
        <v>0</v>
      </c>
      <c r="I131" s="172">
        <v>0</v>
      </c>
      <c r="J131" s="172">
        <v>1076652.56</v>
      </c>
      <c r="K131" s="172">
        <f t="shared" si="124"/>
        <v>0</v>
      </c>
      <c r="L131" s="172">
        <f t="shared" si="136"/>
        <v>0</v>
      </c>
      <c r="M131" s="172">
        <f t="shared" si="137"/>
        <v>1076652.56</v>
      </c>
      <c r="N131" s="172">
        <v>1703244.23</v>
      </c>
      <c r="O131" s="182">
        <f t="shared" si="127"/>
        <v>0</v>
      </c>
      <c r="P131" s="182">
        <f t="shared" si="128"/>
        <v>0</v>
      </c>
      <c r="Q131" s="182">
        <f t="shared" si="129"/>
        <v>1703244.23</v>
      </c>
      <c r="R131" s="182">
        <f t="shared" si="130"/>
        <v>0</v>
      </c>
      <c r="S131" s="182">
        <f t="shared" si="131"/>
        <v>0</v>
      </c>
      <c r="T131" s="182">
        <f t="shared" si="132"/>
        <v>0</v>
      </c>
      <c r="U131" s="182">
        <f t="shared" si="133"/>
        <v>0</v>
      </c>
      <c r="V131" s="182">
        <f t="shared" si="134"/>
        <v>2779896.79</v>
      </c>
      <c r="W131" s="182">
        <f t="shared" si="135"/>
        <v>2779896.79</v>
      </c>
    </row>
    <row r="132" spans="2:23" x14ac:dyDescent="0.25">
      <c r="B132" s="164">
        <v>108023</v>
      </c>
      <c r="C132" s="100" t="s">
        <v>147</v>
      </c>
      <c r="D132" s="138" t="s">
        <v>342</v>
      </c>
      <c r="E132" s="172">
        <v>2779896.79</v>
      </c>
      <c r="F132" s="172">
        <v>2779896.79</v>
      </c>
      <c r="G132" s="172">
        <v>0</v>
      </c>
      <c r="H132" s="172">
        <v>0</v>
      </c>
      <c r="I132" s="172">
        <v>0</v>
      </c>
      <c r="J132" s="172">
        <v>1128060.57</v>
      </c>
      <c r="K132" s="172">
        <f t="shared" si="124"/>
        <v>0</v>
      </c>
      <c r="L132" s="172">
        <f t="shared" si="136"/>
        <v>0</v>
      </c>
      <c r="M132" s="172">
        <f t="shared" si="137"/>
        <v>1128060.57</v>
      </c>
      <c r="N132" s="172">
        <v>1651836.22</v>
      </c>
      <c r="O132" s="182">
        <f t="shared" si="127"/>
        <v>0</v>
      </c>
      <c r="P132" s="182">
        <f t="shared" si="128"/>
        <v>0</v>
      </c>
      <c r="Q132" s="182">
        <f t="shared" si="129"/>
        <v>1651836.22</v>
      </c>
      <c r="R132" s="182">
        <f t="shared" si="130"/>
        <v>0</v>
      </c>
      <c r="S132" s="182">
        <f t="shared" si="131"/>
        <v>0</v>
      </c>
      <c r="T132" s="182">
        <f t="shared" si="132"/>
        <v>0</v>
      </c>
      <c r="U132" s="182">
        <f t="shared" si="133"/>
        <v>0</v>
      </c>
      <c r="V132" s="182">
        <f t="shared" si="134"/>
        <v>2779896.79</v>
      </c>
      <c r="W132" s="182">
        <f t="shared" si="135"/>
        <v>2779896.79</v>
      </c>
    </row>
    <row r="133" spans="2:23" x14ac:dyDescent="0.25">
      <c r="B133" s="164">
        <v>108024</v>
      </c>
      <c r="C133" s="100">
        <v>53806</v>
      </c>
      <c r="D133" s="138" t="s">
        <v>379</v>
      </c>
      <c r="E133" s="172">
        <v>0</v>
      </c>
      <c r="F133" s="172">
        <v>0</v>
      </c>
      <c r="G133" s="172">
        <v>0</v>
      </c>
      <c r="H133" s="172">
        <v>0</v>
      </c>
      <c r="I133" s="172">
        <v>0</v>
      </c>
      <c r="J133" s="172">
        <v>388905.13</v>
      </c>
      <c r="K133" s="172">
        <f t="shared" si="124"/>
        <v>0</v>
      </c>
      <c r="L133" s="172">
        <f t="shared" ref="L133" si="138">IF(AND(H133&gt;0, J133&gt;0), MIN(H133, J133 - K133), 0)</f>
        <v>0</v>
      </c>
      <c r="M133" s="172">
        <f t="shared" ref="M133" si="139">IF(J133&lt;0, J133, MAX(0, J133 - K133 - L133))</f>
        <v>388905.13</v>
      </c>
      <c r="N133" s="172">
        <v>-388905.13</v>
      </c>
      <c r="O133" s="182">
        <f t="shared" si="127"/>
        <v>0</v>
      </c>
      <c r="P133" s="182">
        <f t="shared" si="128"/>
        <v>0</v>
      </c>
      <c r="Q133" s="182">
        <f t="shared" si="129"/>
        <v>-388905.13</v>
      </c>
      <c r="R133" s="182">
        <f t="shared" si="130"/>
        <v>0</v>
      </c>
      <c r="S133" s="182">
        <f t="shared" si="131"/>
        <v>0</v>
      </c>
      <c r="T133" s="182">
        <f t="shared" si="132"/>
        <v>0</v>
      </c>
      <c r="U133" s="182">
        <f t="shared" si="133"/>
        <v>0</v>
      </c>
      <c r="V133" s="182">
        <f t="shared" si="134"/>
        <v>0</v>
      </c>
      <c r="W133" s="182">
        <f t="shared" si="135"/>
        <v>0</v>
      </c>
    </row>
    <row r="134" spans="2:23" x14ac:dyDescent="0.25">
      <c r="C134" s="184"/>
      <c r="D134" s="185"/>
      <c r="E134" s="191"/>
      <c r="F134" s="177"/>
      <c r="G134" s="191"/>
      <c r="H134" s="191"/>
      <c r="I134" s="191"/>
      <c r="J134" s="186"/>
      <c r="K134" s="186"/>
      <c r="L134" s="186"/>
      <c r="M134" s="186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</row>
    <row r="135" spans="2:23" x14ac:dyDescent="0.25">
      <c r="B135" s="165"/>
      <c r="C135" s="188" t="s">
        <v>148</v>
      </c>
      <c r="D135" s="189" t="s">
        <v>149</v>
      </c>
      <c r="E135" s="187">
        <f t="shared" ref="E135:J135" si="140">SUM(E136:E210)</f>
        <v>56838376.090000011</v>
      </c>
      <c r="F135" s="187">
        <f t="shared" si="140"/>
        <v>0</v>
      </c>
      <c r="G135" s="187">
        <f t="shared" si="140"/>
        <v>56147583.410000004</v>
      </c>
      <c r="H135" s="187">
        <f t="shared" si="140"/>
        <v>690792.68</v>
      </c>
      <c r="I135" s="187">
        <f t="shared" si="140"/>
        <v>0</v>
      </c>
      <c r="J135" s="187">
        <f t="shared" si="140"/>
        <v>48755524.269999996</v>
      </c>
      <c r="K135" s="187">
        <f t="shared" ref="K135:N135" si="141">SUM(K136:K210)</f>
        <v>49571939.374144442</v>
      </c>
      <c r="L135" s="187">
        <f t="shared" si="141"/>
        <v>0</v>
      </c>
      <c r="M135" s="187">
        <f t="shared" si="141"/>
        <v>-816415.10000000009</v>
      </c>
      <c r="N135" s="187">
        <f t="shared" si="141"/>
        <v>8082851.8199999984</v>
      </c>
      <c r="O135" s="187">
        <f t="shared" ref="O135:U135" si="142">SUM(O136:O210)</f>
        <v>6454511.3158555571</v>
      </c>
      <c r="P135" s="187">
        <f t="shared" si="142"/>
        <v>690792.68</v>
      </c>
      <c r="Q135" s="187">
        <f t="shared" si="142"/>
        <v>937547.82414444233</v>
      </c>
      <c r="R135" s="187">
        <f t="shared" si="142"/>
        <v>-4.144441569224E-3</v>
      </c>
      <c r="S135" s="187">
        <f t="shared" si="142"/>
        <v>121132.71999999996</v>
      </c>
      <c r="T135" s="187">
        <f t="shared" si="142"/>
        <v>0</v>
      </c>
      <c r="U135" s="187">
        <f t="shared" si="142"/>
        <v>-121132.72414444131</v>
      </c>
      <c r="V135" s="187">
        <f t="shared" ref="V135:W135" si="143">SUM(V136:V210)</f>
        <v>121132.72414444131</v>
      </c>
      <c r="W135" s="187">
        <f t="shared" si="143"/>
        <v>56838376.089999996</v>
      </c>
    </row>
    <row r="136" spans="2:23" x14ac:dyDescent="0.25">
      <c r="B136" s="165">
        <v>210100</v>
      </c>
      <c r="C136" s="100" t="s">
        <v>148</v>
      </c>
      <c r="D136" s="106" t="s">
        <v>159</v>
      </c>
      <c r="E136" s="172">
        <v>590004.87000000011</v>
      </c>
      <c r="F136" s="172">
        <v>0</v>
      </c>
      <c r="G136" s="172">
        <v>590004.87000000011</v>
      </c>
      <c r="H136" s="172">
        <v>0</v>
      </c>
      <c r="I136" s="172">
        <v>0</v>
      </c>
      <c r="J136" s="172">
        <v>399541.27</v>
      </c>
      <c r="K136" s="172">
        <f t="shared" ref="K136:K144" si="144">IF(AND(G136&gt;0, J136&gt;0), MIN(J136, G136), 0)</f>
        <v>399541.27</v>
      </c>
      <c r="L136" s="172">
        <f t="shared" ref="L136" si="145">IF(AND(H136&gt;0, J136&gt;0), MIN(H136, J136 - K136), 0)</f>
        <v>0</v>
      </c>
      <c r="M136" s="172">
        <f t="shared" ref="M136" si="146">IF(J136&lt;0, J136, MAX(0, J136 - K136 - L136))</f>
        <v>0</v>
      </c>
      <c r="N136" s="172">
        <v>249900</v>
      </c>
      <c r="O136" s="172">
        <f>IF(AND(N136&gt;0,(G136-K136)&gt;0),MIN(N136,G136-K136),G136-K136)</f>
        <v>190463.60000000009</v>
      </c>
      <c r="P136" s="172">
        <f t="shared" ref="P136:P156" si="147">IF((N136-O136)&gt;0, MIN((N136-O136), MAX(0, (H136-O136) - (L136-O136))), 0)</f>
        <v>0</v>
      </c>
      <c r="Q136" s="172">
        <f t="shared" ref="Q136" si="148">N136-O136-P136</f>
        <v>59436.399999999907</v>
      </c>
      <c r="R136" s="172">
        <f t="shared" ref="R136:R199" si="149">SUM(S136:U136)</f>
        <v>-59436.399999999907</v>
      </c>
      <c r="S136" s="172">
        <f t="shared" ref="S136:S199" si="150">G136-K136-O136</f>
        <v>0</v>
      </c>
      <c r="T136" s="172">
        <f t="shared" ref="T136" si="151">H136-L136-P136</f>
        <v>0</v>
      </c>
      <c r="U136" s="172">
        <f t="shared" ref="U136" si="152">F136-M136-Q136</f>
        <v>-59436.399999999907</v>
      </c>
      <c r="V136" s="182">
        <f t="shared" ref="V136:V199" si="153">M136+Q136</f>
        <v>59436.399999999907</v>
      </c>
      <c r="W136" s="182">
        <f t="shared" ref="W136:W167" si="154">J136+N136</f>
        <v>649441.27</v>
      </c>
    </row>
    <row r="137" spans="2:23" x14ac:dyDescent="0.25">
      <c r="B137" s="165">
        <v>210227</v>
      </c>
      <c r="C137" s="100" t="s">
        <v>148</v>
      </c>
      <c r="D137" s="106" t="s">
        <v>219</v>
      </c>
      <c r="E137" s="172">
        <v>955447.19</v>
      </c>
      <c r="F137" s="172">
        <v>0</v>
      </c>
      <c r="G137" s="172">
        <v>955447.19</v>
      </c>
      <c r="H137" s="172">
        <v>0</v>
      </c>
      <c r="I137" s="172">
        <v>0</v>
      </c>
      <c r="J137" s="172">
        <v>955447</v>
      </c>
      <c r="K137" s="172">
        <f t="shared" si="144"/>
        <v>955447</v>
      </c>
      <c r="L137" s="172">
        <f t="shared" ref="L137:L200" si="155">IF(AND(H137&gt;0, J137&gt;0), MIN(H137, J137 - K137), 0)</f>
        <v>0</v>
      </c>
      <c r="M137" s="172">
        <f t="shared" ref="M137:M200" si="156">IF(J137&lt;0, J137, MAX(0, J137 - K137 - L137))</f>
        <v>0</v>
      </c>
      <c r="N137" s="172">
        <v>0</v>
      </c>
      <c r="O137" s="172">
        <f t="shared" ref="O137:O200" si="157">IF(AND(N137&gt;0,(G137-K137)&gt;0),MIN(N137,G137-K137),G137-K137)</f>
        <v>0.18999999994412065</v>
      </c>
      <c r="P137" s="172">
        <f t="shared" si="147"/>
        <v>0</v>
      </c>
      <c r="Q137" s="172">
        <f t="shared" ref="Q137:Q200" si="158">N137-O137-P137</f>
        <v>-0.18999999994412065</v>
      </c>
      <c r="R137" s="172">
        <f t="shared" si="149"/>
        <v>0.18999999994412065</v>
      </c>
      <c r="S137" s="172">
        <f t="shared" si="150"/>
        <v>0</v>
      </c>
      <c r="T137" s="172">
        <f t="shared" ref="T137:T200" si="159">H137-L137-P137</f>
        <v>0</v>
      </c>
      <c r="U137" s="172">
        <f t="shared" ref="U137:U200" si="160">F137-M137-Q137</f>
        <v>0.18999999994412065</v>
      </c>
      <c r="V137" s="182">
        <f t="shared" si="153"/>
        <v>-0.18999999994412065</v>
      </c>
      <c r="W137" s="182">
        <f t="shared" si="154"/>
        <v>955447</v>
      </c>
    </row>
    <row r="138" spans="2:23" x14ac:dyDescent="0.25">
      <c r="B138" s="165">
        <v>211100</v>
      </c>
      <c r="C138" s="100" t="s">
        <v>148</v>
      </c>
      <c r="D138" s="106" t="s">
        <v>199</v>
      </c>
      <c r="E138" s="172">
        <v>0</v>
      </c>
      <c r="F138" s="172">
        <v>0</v>
      </c>
      <c r="G138" s="172">
        <v>0</v>
      </c>
      <c r="H138" s="172">
        <v>0</v>
      </c>
      <c r="I138" s="172">
        <v>0</v>
      </c>
      <c r="J138" s="172">
        <v>0</v>
      </c>
      <c r="K138" s="172">
        <f t="shared" si="144"/>
        <v>0</v>
      </c>
      <c r="L138" s="172">
        <f t="shared" si="155"/>
        <v>0</v>
      </c>
      <c r="M138" s="172">
        <f t="shared" si="156"/>
        <v>0</v>
      </c>
      <c r="N138" s="172">
        <v>0</v>
      </c>
      <c r="O138" s="172">
        <f t="shared" si="157"/>
        <v>0</v>
      </c>
      <c r="P138" s="172">
        <f t="shared" si="147"/>
        <v>0</v>
      </c>
      <c r="Q138" s="172">
        <f t="shared" si="158"/>
        <v>0</v>
      </c>
      <c r="R138" s="172">
        <f t="shared" si="149"/>
        <v>0</v>
      </c>
      <c r="S138" s="172">
        <f t="shared" si="150"/>
        <v>0</v>
      </c>
      <c r="T138" s="172">
        <f t="shared" si="159"/>
        <v>0</v>
      </c>
      <c r="U138" s="172">
        <f t="shared" si="160"/>
        <v>0</v>
      </c>
      <c r="V138" s="182">
        <f t="shared" si="153"/>
        <v>0</v>
      </c>
      <c r="W138" s="182">
        <f t="shared" si="154"/>
        <v>0</v>
      </c>
    </row>
    <row r="139" spans="2:23" x14ac:dyDescent="0.25">
      <c r="B139" s="165">
        <v>211101</v>
      </c>
      <c r="C139" s="100" t="s">
        <v>148</v>
      </c>
      <c r="D139" s="106" t="s">
        <v>160</v>
      </c>
      <c r="E139" s="172">
        <v>0</v>
      </c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f t="shared" si="144"/>
        <v>0</v>
      </c>
      <c r="L139" s="172">
        <f t="shared" si="155"/>
        <v>0</v>
      </c>
      <c r="M139" s="172">
        <f t="shared" si="156"/>
        <v>0</v>
      </c>
      <c r="N139" s="172">
        <v>0</v>
      </c>
      <c r="O139" s="172">
        <f t="shared" si="157"/>
        <v>0</v>
      </c>
      <c r="P139" s="172">
        <f t="shared" si="147"/>
        <v>0</v>
      </c>
      <c r="Q139" s="172">
        <f t="shared" si="158"/>
        <v>0</v>
      </c>
      <c r="R139" s="172">
        <f t="shared" si="149"/>
        <v>0</v>
      </c>
      <c r="S139" s="172">
        <f t="shared" si="150"/>
        <v>0</v>
      </c>
      <c r="T139" s="172">
        <f t="shared" si="159"/>
        <v>0</v>
      </c>
      <c r="U139" s="172">
        <f t="shared" si="160"/>
        <v>0</v>
      </c>
      <c r="V139" s="182">
        <f t="shared" si="153"/>
        <v>0</v>
      </c>
      <c r="W139" s="182">
        <f t="shared" si="154"/>
        <v>0</v>
      </c>
    </row>
    <row r="140" spans="2:23" x14ac:dyDescent="0.25">
      <c r="B140" s="165">
        <v>211102</v>
      </c>
      <c r="C140" s="100" t="s">
        <v>148</v>
      </c>
      <c r="D140" s="106" t="s">
        <v>161</v>
      </c>
      <c r="E140" s="172">
        <v>1034234.13</v>
      </c>
      <c r="F140" s="172">
        <v>0</v>
      </c>
      <c r="G140" s="172">
        <v>1034234.13</v>
      </c>
      <c r="H140" s="172">
        <v>0</v>
      </c>
      <c r="I140" s="172">
        <v>0</v>
      </c>
      <c r="J140" s="172">
        <v>906739.67</v>
      </c>
      <c r="K140" s="172">
        <f t="shared" si="144"/>
        <v>906739.67</v>
      </c>
      <c r="L140" s="172">
        <f t="shared" si="155"/>
        <v>0</v>
      </c>
      <c r="M140" s="172">
        <f t="shared" si="156"/>
        <v>0</v>
      </c>
      <c r="N140" s="172">
        <v>6361.74</v>
      </c>
      <c r="O140" s="172">
        <f t="shared" si="157"/>
        <v>6361.74</v>
      </c>
      <c r="P140" s="172">
        <f t="shared" si="147"/>
        <v>0</v>
      </c>
      <c r="Q140" s="172">
        <f t="shared" si="158"/>
        <v>0</v>
      </c>
      <c r="R140" s="172">
        <f t="shared" si="149"/>
        <v>121132.71999999996</v>
      </c>
      <c r="S140" s="172">
        <f t="shared" si="150"/>
        <v>121132.71999999996</v>
      </c>
      <c r="T140" s="172">
        <f t="shared" si="159"/>
        <v>0</v>
      </c>
      <c r="U140" s="172">
        <f t="shared" si="160"/>
        <v>0</v>
      </c>
      <c r="V140" s="182">
        <f t="shared" si="153"/>
        <v>0</v>
      </c>
      <c r="W140" s="182">
        <f t="shared" si="154"/>
        <v>913101.41</v>
      </c>
    </row>
    <row r="141" spans="2:23" x14ac:dyDescent="0.25">
      <c r="B141" s="165">
        <v>211103</v>
      </c>
      <c r="C141" s="100" t="s">
        <v>148</v>
      </c>
      <c r="D141" s="106" t="s">
        <v>220</v>
      </c>
      <c r="E141" s="172">
        <v>0</v>
      </c>
      <c r="F141" s="172">
        <v>0</v>
      </c>
      <c r="G141" s="172">
        <v>0</v>
      </c>
      <c r="H141" s="172">
        <v>0</v>
      </c>
      <c r="I141" s="172">
        <v>0</v>
      </c>
      <c r="J141" s="172">
        <v>0</v>
      </c>
      <c r="K141" s="172">
        <f t="shared" si="144"/>
        <v>0</v>
      </c>
      <c r="L141" s="172">
        <f t="shared" si="155"/>
        <v>0</v>
      </c>
      <c r="M141" s="172">
        <f t="shared" si="156"/>
        <v>0</v>
      </c>
      <c r="N141" s="172">
        <v>0</v>
      </c>
      <c r="O141" s="172">
        <f t="shared" si="157"/>
        <v>0</v>
      </c>
      <c r="P141" s="172">
        <f t="shared" si="147"/>
        <v>0</v>
      </c>
      <c r="Q141" s="172">
        <f t="shared" si="158"/>
        <v>0</v>
      </c>
      <c r="R141" s="172">
        <f t="shared" si="149"/>
        <v>0</v>
      </c>
      <c r="S141" s="172">
        <f t="shared" si="150"/>
        <v>0</v>
      </c>
      <c r="T141" s="172">
        <f t="shared" si="159"/>
        <v>0</v>
      </c>
      <c r="U141" s="172">
        <f t="shared" si="160"/>
        <v>0</v>
      </c>
      <c r="V141" s="182">
        <f t="shared" si="153"/>
        <v>0</v>
      </c>
      <c r="W141" s="182">
        <f t="shared" si="154"/>
        <v>0</v>
      </c>
    </row>
    <row r="142" spans="2:23" x14ac:dyDescent="0.25">
      <c r="B142" s="165">
        <v>211106</v>
      </c>
      <c r="C142" s="100" t="s">
        <v>148</v>
      </c>
      <c r="D142" s="106" t="s">
        <v>221</v>
      </c>
      <c r="E142" s="172">
        <v>0</v>
      </c>
      <c r="F142" s="172">
        <v>0</v>
      </c>
      <c r="G142" s="172">
        <v>0</v>
      </c>
      <c r="H142" s="172">
        <v>0</v>
      </c>
      <c r="I142" s="172">
        <v>0</v>
      </c>
      <c r="J142" s="172">
        <v>0</v>
      </c>
      <c r="K142" s="172">
        <f t="shared" si="144"/>
        <v>0</v>
      </c>
      <c r="L142" s="172">
        <f t="shared" si="155"/>
        <v>0</v>
      </c>
      <c r="M142" s="172">
        <f t="shared" si="156"/>
        <v>0</v>
      </c>
      <c r="N142" s="172">
        <v>0</v>
      </c>
      <c r="O142" s="172">
        <f t="shared" si="157"/>
        <v>0</v>
      </c>
      <c r="P142" s="172">
        <f t="shared" si="147"/>
        <v>0</v>
      </c>
      <c r="Q142" s="172">
        <f t="shared" si="158"/>
        <v>0</v>
      </c>
      <c r="R142" s="172">
        <f t="shared" si="149"/>
        <v>0</v>
      </c>
      <c r="S142" s="172">
        <f t="shared" si="150"/>
        <v>0</v>
      </c>
      <c r="T142" s="172">
        <f t="shared" si="159"/>
        <v>0</v>
      </c>
      <c r="U142" s="172">
        <f t="shared" si="160"/>
        <v>0</v>
      </c>
      <c r="V142" s="182">
        <f t="shared" si="153"/>
        <v>0</v>
      </c>
      <c r="W142" s="182">
        <f t="shared" si="154"/>
        <v>0</v>
      </c>
    </row>
    <row r="143" spans="2:23" s="139" customFormat="1" x14ac:dyDescent="0.25">
      <c r="B143" s="165">
        <v>211108</v>
      </c>
      <c r="C143" s="100" t="s">
        <v>148</v>
      </c>
      <c r="D143" s="106" t="s">
        <v>222</v>
      </c>
      <c r="E143" s="172">
        <v>0</v>
      </c>
      <c r="F143" s="172">
        <v>0</v>
      </c>
      <c r="G143" s="172">
        <v>0</v>
      </c>
      <c r="H143" s="172">
        <v>0</v>
      </c>
      <c r="I143" s="172">
        <v>0</v>
      </c>
      <c r="J143" s="172">
        <v>0</v>
      </c>
      <c r="K143" s="172">
        <f t="shared" si="144"/>
        <v>0</v>
      </c>
      <c r="L143" s="172">
        <f t="shared" si="155"/>
        <v>0</v>
      </c>
      <c r="M143" s="172">
        <f t="shared" si="156"/>
        <v>0</v>
      </c>
      <c r="N143" s="172">
        <v>0</v>
      </c>
      <c r="O143" s="172">
        <f t="shared" si="157"/>
        <v>0</v>
      </c>
      <c r="P143" s="172">
        <f t="shared" si="147"/>
        <v>0</v>
      </c>
      <c r="Q143" s="172">
        <f t="shared" si="158"/>
        <v>0</v>
      </c>
      <c r="R143" s="172">
        <f t="shared" si="149"/>
        <v>0</v>
      </c>
      <c r="S143" s="172">
        <f t="shared" si="150"/>
        <v>0</v>
      </c>
      <c r="T143" s="172">
        <f t="shared" si="159"/>
        <v>0</v>
      </c>
      <c r="U143" s="172">
        <f t="shared" si="160"/>
        <v>0</v>
      </c>
      <c r="V143" s="182">
        <f t="shared" si="153"/>
        <v>0</v>
      </c>
      <c r="W143" s="182">
        <f t="shared" si="154"/>
        <v>0</v>
      </c>
    </row>
    <row r="144" spans="2:23" x14ac:dyDescent="0.25">
      <c r="B144" s="165">
        <v>211109</v>
      </c>
      <c r="C144" s="135" t="s">
        <v>148</v>
      </c>
      <c r="D144" s="138" t="s">
        <v>372</v>
      </c>
      <c r="E144" s="172">
        <f>G144+H144</f>
        <v>1375043.53</v>
      </c>
      <c r="F144" s="172">
        <v>0</v>
      </c>
      <c r="G144" s="172">
        <f>1375043.53-H144</f>
        <v>684250.85</v>
      </c>
      <c r="H144" s="172">
        <v>690792.68</v>
      </c>
      <c r="I144" s="172">
        <v>0</v>
      </c>
      <c r="J144" s="172">
        <v>0</v>
      </c>
      <c r="K144" s="172">
        <f t="shared" si="144"/>
        <v>0</v>
      </c>
      <c r="L144" s="172">
        <v>0</v>
      </c>
      <c r="M144" s="172">
        <v>0</v>
      </c>
      <c r="N144" s="171">
        <v>-2169883.17</v>
      </c>
      <c r="O144" s="172">
        <f t="shared" si="157"/>
        <v>684250.85</v>
      </c>
      <c r="P144" s="172">
        <v>690792.68</v>
      </c>
      <c r="Q144" s="172">
        <f t="shared" si="158"/>
        <v>-3544926.7</v>
      </c>
      <c r="R144" s="172">
        <f>SUM(S144:U144)</f>
        <v>3544926.7</v>
      </c>
      <c r="S144" s="172">
        <f t="shared" si="150"/>
        <v>0</v>
      </c>
      <c r="T144" s="172">
        <f t="shared" si="159"/>
        <v>0</v>
      </c>
      <c r="U144" s="172">
        <f t="shared" si="160"/>
        <v>3544926.7</v>
      </c>
      <c r="V144" s="182">
        <f t="shared" si="153"/>
        <v>-3544926.7</v>
      </c>
      <c r="W144" s="182">
        <f t="shared" si="154"/>
        <v>-2169883.17</v>
      </c>
    </row>
    <row r="145" spans="2:23" x14ac:dyDescent="0.25">
      <c r="B145" s="165">
        <v>211110</v>
      </c>
      <c r="C145" s="100" t="s">
        <v>148</v>
      </c>
      <c r="D145" s="106" t="s">
        <v>162</v>
      </c>
      <c r="E145" s="172">
        <v>0.03</v>
      </c>
      <c r="F145" s="172">
        <v>0</v>
      </c>
      <c r="G145" s="172">
        <v>0.03</v>
      </c>
      <c r="H145" s="172">
        <v>0</v>
      </c>
      <c r="I145" s="172">
        <v>0</v>
      </c>
      <c r="J145" s="172">
        <v>0</v>
      </c>
      <c r="K145" s="172">
        <f t="shared" ref="K145:K180" si="161">IF(AND(G145&gt;0, J145&gt;0), MIN(J145, G145), 0)</f>
        <v>0</v>
      </c>
      <c r="L145" s="172">
        <f t="shared" si="155"/>
        <v>0</v>
      </c>
      <c r="M145" s="172">
        <f t="shared" si="156"/>
        <v>0</v>
      </c>
      <c r="N145" s="172">
        <v>0</v>
      </c>
      <c r="O145" s="172">
        <f t="shared" si="157"/>
        <v>0.03</v>
      </c>
      <c r="P145" s="172">
        <f t="shared" si="147"/>
        <v>0</v>
      </c>
      <c r="Q145" s="172">
        <f t="shared" si="158"/>
        <v>-0.03</v>
      </c>
      <c r="R145" s="172">
        <f t="shared" si="149"/>
        <v>0.03</v>
      </c>
      <c r="S145" s="172">
        <f t="shared" si="150"/>
        <v>0</v>
      </c>
      <c r="T145" s="172">
        <f t="shared" si="159"/>
        <v>0</v>
      </c>
      <c r="U145" s="172">
        <f t="shared" si="160"/>
        <v>0.03</v>
      </c>
      <c r="V145" s="182">
        <f t="shared" si="153"/>
        <v>-0.03</v>
      </c>
      <c r="W145" s="182">
        <f t="shared" si="154"/>
        <v>0</v>
      </c>
    </row>
    <row r="146" spans="2:23" x14ac:dyDescent="0.25">
      <c r="B146" s="165">
        <v>211111</v>
      </c>
      <c r="C146" s="100" t="s">
        <v>148</v>
      </c>
      <c r="D146" s="106" t="s">
        <v>223</v>
      </c>
      <c r="E146" s="172">
        <v>0</v>
      </c>
      <c r="F146" s="172">
        <v>0</v>
      </c>
      <c r="G146" s="172">
        <v>0</v>
      </c>
      <c r="H146" s="172">
        <v>0</v>
      </c>
      <c r="I146" s="172">
        <v>0</v>
      </c>
      <c r="J146" s="172">
        <v>0</v>
      </c>
      <c r="K146" s="172">
        <f t="shared" si="161"/>
        <v>0</v>
      </c>
      <c r="L146" s="172">
        <f t="shared" si="155"/>
        <v>0</v>
      </c>
      <c r="M146" s="172">
        <f t="shared" si="156"/>
        <v>0</v>
      </c>
      <c r="N146" s="172">
        <v>0</v>
      </c>
      <c r="O146" s="172">
        <f t="shared" si="157"/>
        <v>0</v>
      </c>
      <c r="P146" s="172">
        <f t="shared" si="147"/>
        <v>0</v>
      </c>
      <c r="Q146" s="172">
        <f t="shared" si="158"/>
        <v>0</v>
      </c>
      <c r="R146" s="172">
        <f t="shared" si="149"/>
        <v>0</v>
      </c>
      <c r="S146" s="172">
        <f t="shared" si="150"/>
        <v>0</v>
      </c>
      <c r="T146" s="172">
        <f t="shared" si="159"/>
        <v>0</v>
      </c>
      <c r="U146" s="172">
        <f t="shared" si="160"/>
        <v>0</v>
      </c>
      <c r="V146" s="182">
        <f t="shared" si="153"/>
        <v>0</v>
      </c>
      <c r="W146" s="182">
        <f t="shared" si="154"/>
        <v>0</v>
      </c>
    </row>
    <row r="147" spans="2:23" x14ac:dyDescent="0.25">
      <c r="B147" s="165">
        <v>211112</v>
      </c>
      <c r="C147" s="100" t="s">
        <v>148</v>
      </c>
      <c r="D147" s="106" t="s">
        <v>224</v>
      </c>
      <c r="E147" s="172">
        <v>0</v>
      </c>
      <c r="F147" s="172">
        <v>0</v>
      </c>
      <c r="G147" s="172">
        <v>0</v>
      </c>
      <c r="H147" s="172">
        <v>0</v>
      </c>
      <c r="I147" s="172">
        <v>0</v>
      </c>
      <c r="J147" s="172">
        <v>0</v>
      </c>
      <c r="K147" s="172">
        <f t="shared" si="161"/>
        <v>0</v>
      </c>
      <c r="L147" s="172">
        <f t="shared" si="155"/>
        <v>0</v>
      </c>
      <c r="M147" s="172">
        <f t="shared" si="156"/>
        <v>0</v>
      </c>
      <c r="N147" s="172">
        <v>0</v>
      </c>
      <c r="O147" s="172">
        <f t="shared" si="157"/>
        <v>0</v>
      </c>
      <c r="P147" s="172">
        <f t="shared" si="147"/>
        <v>0</v>
      </c>
      <c r="Q147" s="172">
        <f t="shared" si="158"/>
        <v>0</v>
      </c>
      <c r="R147" s="172">
        <f t="shared" si="149"/>
        <v>0</v>
      </c>
      <c r="S147" s="172">
        <f t="shared" si="150"/>
        <v>0</v>
      </c>
      <c r="T147" s="172">
        <f t="shared" si="159"/>
        <v>0</v>
      </c>
      <c r="U147" s="172">
        <f t="shared" si="160"/>
        <v>0</v>
      </c>
      <c r="V147" s="182">
        <f t="shared" si="153"/>
        <v>0</v>
      </c>
      <c r="W147" s="182">
        <f t="shared" si="154"/>
        <v>0</v>
      </c>
    </row>
    <row r="148" spans="2:23" x14ac:dyDescent="0.25">
      <c r="B148" s="165">
        <v>211114</v>
      </c>
      <c r="C148" s="100" t="s">
        <v>148</v>
      </c>
      <c r="D148" s="106" t="s">
        <v>225</v>
      </c>
      <c r="E148" s="172">
        <v>0</v>
      </c>
      <c r="F148" s="172">
        <v>0</v>
      </c>
      <c r="G148" s="172">
        <v>0</v>
      </c>
      <c r="H148" s="172">
        <v>0</v>
      </c>
      <c r="I148" s="172">
        <v>0</v>
      </c>
      <c r="J148" s="172">
        <v>0</v>
      </c>
      <c r="K148" s="172">
        <f t="shared" si="161"/>
        <v>0</v>
      </c>
      <c r="L148" s="172">
        <f t="shared" si="155"/>
        <v>0</v>
      </c>
      <c r="M148" s="172">
        <f t="shared" si="156"/>
        <v>0</v>
      </c>
      <c r="N148" s="172">
        <v>0</v>
      </c>
      <c r="O148" s="172">
        <f t="shared" si="157"/>
        <v>0</v>
      </c>
      <c r="P148" s="172">
        <f t="shared" si="147"/>
        <v>0</v>
      </c>
      <c r="Q148" s="172">
        <f t="shared" si="158"/>
        <v>0</v>
      </c>
      <c r="R148" s="172">
        <f t="shared" si="149"/>
        <v>0</v>
      </c>
      <c r="S148" s="172">
        <f t="shared" si="150"/>
        <v>0</v>
      </c>
      <c r="T148" s="172">
        <f t="shared" si="159"/>
        <v>0</v>
      </c>
      <c r="U148" s="172">
        <f t="shared" si="160"/>
        <v>0</v>
      </c>
      <c r="V148" s="182">
        <f t="shared" si="153"/>
        <v>0</v>
      </c>
      <c r="W148" s="182">
        <f t="shared" si="154"/>
        <v>0</v>
      </c>
    </row>
    <row r="149" spans="2:23" x14ac:dyDescent="0.25">
      <c r="B149" s="165">
        <v>211116</v>
      </c>
      <c r="C149" s="100" t="s">
        <v>148</v>
      </c>
      <c r="D149" s="106" t="s">
        <v>226</v>
      </c>
      <c r="E149" s="172">
        <v>0</v>
      </c>
      <c r="F149" s="172">
        <v>0</v>
      </c>
      <c r="G149" s="172">
        <v>0</v>
      </c>
      <c r="H149" s="172">
        <v>0</v>
      </c>
      <c r="I149" s="172">
        <v>0</v>
      </c>
      <c r="J149" s="172">
        <v>0</v>
      </c>
      <c r="K149" s="172">
        <f t="shared" si="161"/>
        <v>0</v>
      </c>
      <c r="L149" s="172">
        <f t="shared" si="155"/>
        <v>0</v>
      </c>
      <c r="M149" s="172">
        <f t="shared" si="156"/>
        <v>0</v>
      </c>
      <c r="N149" s="172">
        <v>0</v>
      </c>
      <c r="O149" s="172">
        <f t="shared" si="157"/>
        <v>0</v>
      </c>
      <c r="P149" s="172">
        <f t="shared" si="147"/>
        <v>0</v>
      </c>
      <c r="Q149" s="172">
        <f t="shared" si="158"/>
        <v>0</v>
      </c>
      <c r="R149" s="172">
        <f t="shared" si="149"/>
        <v>0</v>
      </c>
      <c r="S149" s="172">
        <f t="shared" si="150"/>
        <v>0</v>
      </c>
      <c r="T149" s="172">
        <f t="shared" si="159"/>
        <v>0</v>
      </c>
      <c r="U149" s="172">
        <f t="shared" si="160"/>
        <v>0</v>
      </c>
      <c r="V149" s="182">
        <f t="shared" si="153"/>
        <v>0</v>
      </c>
      <c r="W149" s="182">
        <f t="shared" si="154"/>
        <v>0</v>
      </c>
    </row>
    <row r="150" spans="2:23" x14ac:dyDescent="0.25">
      <c r="B150" s="165">
        <v>211120</v>
      </c>
      <c r="C150" s="100" t="s">
        <v>148</v>
      </c>
      <c r="D150" s="106" t="s">
        <v>227</v>
      </c>
      <c r="E150" s="172">
        <v>0</v>
      </c>
      <c r="F150" s="172">
        <v>0</v>
      </c>
      <c r="G150" s="172">
        <v>0</v>
      </c>
      <c r="H150" s="172">
        <v>0</v>
      </c>
      <c r="I150" s="172">
        <v>0</v>
      </c>
      <c r="J150" s="172">
        <v>0</v>
      </c>
      <c r="K150" s="172">
        <f t="shared" si="161"/>
        <v>0</v>
      </c>
      <c r="L150" s="172">
        <f t="shared" si="155"/>
        <v>0</v>
      </c>
      <c r="M150" s="172">
        <f t="shared" si="156"/>
        <v>0</v>
      </c>
      <c r="N150" s="172">
        <v>0</v>
      </c>
      <c r="O150" s="172">
        <f t="shared" si="157"/>
        <v>0</v>
      </c>
      <c r="P150" s="172">
        <f t="shared" si="147"/>
        <v>0</v>
      </c>
      <c r="Q150" s="172">
        <f t="shared" si="158"/>
        <v>0</v>
      </c>
      <c r="R150" s="172">
        <f t="shared" si="149"/>
        <v>0</v>
      </c>
      <c r="S150" s="172">
        <f t="shared" si="150"/>
        <v>0</v>
      </c>
      <c r="T150" s="172">
        <f t="shared" si="159"/>
        <v>0</v>
      </c>
      <c r="U150" s="172">
        <f t="shared" si="160"/>
        <v>0</v>
      </c>
      <c r="V150" s="182">
        <f t="shared" si="153"/>
        <v>0</v>
      </c>
      <c r="W150" s="182">
        <f t="shared" si="154"/>
        <v>0</v>
      </c>
    </row>
    <row r="151" spans="2:23" x14ac:dyDescent="0.25">
      <c r="B151" s="165">
        <v>211124</v>
      </c>
      <c r="C151" s="100" t="s">
        <v>148</v>
      </c>
      <c r="D151" s="106" t="s">
        <v>163</v>
      </c>
      <c r="E151" s="172">
        <v>0</v>
      </c>
      <c r="F151" s="172">
        <v>0</v>
      </c>
      <c r="G151" s="172">
        <v>0</v>
      </c>
      <c r="H151" s="172">
        <v>0</v>
      </c>
      <c r="I151" s="172">
        <v>0</v>
      </c>
      <c r="J151" s="172">
        <v>0</v>
      </c>
      <c r="K151" s="172">
        <f t="shared" si="161"/>
        <v>0</v>
      </c>
      <c r="L151" s="172">
        <f t="shared" si="155"/>
        <v>0</v>
      </c>
      <c r="M151" s="172">
        <f t="shared" si="156"/>
        <v>0</v>
      </c>
      <c r="N151" s="172">
        <v>0</v>
      </c>
      <c r="O151" s="172">
        <f t="shared" si="157"/>
        <v>0</v>
      </c>
      <c r="P151" s="172">
        <f t="shared" si="147"/>
        <v>0</v>
      </c>
      <c r="Q151" s="172">
        <f t="shared" si="158"/>
        <v>0</v>
      </c>
      <c r="R151" s="172">
        <f t="shared" si="149"/>
        <v>0</v>
      </c>
      <c r="S151" s="172">
        <f t="shared" si="150"/>
        <v>0</v>
      </c>
      <c r="T151" s="172">
        <f t="shared" si="159"/>
        <v>0</v>
      </c>
      <c r="U151" s="172">
        <f t="shared" si="160"/>
        <v>0</v>
      </c>
      <c r="V151" s="182">
        <f t="shared" si="153"/>
        <v>0</v>
      </c>
      <c r="W151" s="182">
        <f t="shared" si="154"/>
        <v>0</v>
      </c>
    </row>
    <row r="152" spans="2:23" x14ac:dyDescent="0.25">
      <c r="B152" s="165">
        <v>211127</v>
      </c>
      <c r="C152" s="100" t="s">
        <v>148</v>
      </c>
      <c r="D152" s="106" t="s">
        <v>228</v>
      </c>
      <c r="E152" s="172">
        <v>0</v>
      </c>
      <c r="F152" s="172">
        <v>0</v>
      </c>
      <c r="G152" s="172">
        <v>0</v>
      </c>
      <c r="H152" s="172">
        <v>0</v>
      </c>
      <c r="I152" s="172">
        <v>0</v>
      </c>
      <c r="J152" s="172">
        <v>-934232.43</v>
      </c>
      <c r="K152" s="172">
        <f t="shared" si="161"/>
        <v>0</v>
      </c>
      <c r="L152" s="172">
        <f t="shared" si="155"/>
        <v>0</v>
      </c>
      <c r="M152" s="172">
        <f t="shared" si="156"/>
        <v>-934232.43</v>
      </c>
      <c r="N152" s="172">
        <v>0</v>
      </c>
      <c r="O152" s="172">
        <f t="shared" si="157"/>
        <v>0</v>
      </c>
      <c r="P152" s="172">
        <f t="shared" si="147"/>
        <v>0</v>
      </c>
      <c r="Q152" s="172">
        <f t="shared" si="158"/>
        <v>0</v>
      </c>
      <c r="R152" s="172">
        <f t="shared" si="149"/>
        <v>934232.43</v>
      </c>
      <c r="S152" s="172">
        <f t="shared" si="150"/>
        <v>0</v>
      </c>
      <c r="T152" s="172">
        <f t="shared" si="159"/>
        <v>0</v>
      </c>
      <c r="U152" s="172">
        <f t="shared" si="160"/>
        <v>934232.43</v>
      </c>
      <c r="V152" s="182">
        <f t="shared" si="153"/>
        <v>-934232.43</v>
      </c>
      <c r="W152" s="182">
        <f t="shared" si="154"/>
        <v>-934232.43</v>
      </c>
    </row>
    <row r="153" spans="2:23" x14ac:dyDescent="0.25">
      <c r="B153" s="165">
        <v>211130</v>
      </c>
      <c r="C153" s="100" t="s">
        <v>148</v>
      </c>
      <c r="D153" s="106" t="s">
        <v>229</v>
      </c>
      <c r="E153" s="172">
        <v>0</v>
      </c>
      <c r="F153" s="172">
        <v>0</v>
      </c>
      <c r="G153" s="172">
        <v>0</v>
      </c>
      <c r="H153" s="172">
        <v>0</v>
      </c>
      <c r="I153" s="172">
        <v>0</v>
      </c>
      <c r="J153" s="172">
        <v>0</v>
      </c>
      <c r="K153" s="172">
        <f t="shared" si="161"/>
        <v>0</v>
      </c>
      <c r="L153" s="172">
        <f t="shared" si="155"/>
        <v>0</v>
      </c>
      <c r="M153" s="172">
        <f t="shared" si="156"/>
        <v>0</v>
      </c>
      <c r="N153" s="172">
        <v>0</v>
      </c>
      <c r="O153" s="172">
        <f t="shared" si="157"/>
        <v>0</v>
      </c>
      <c r="P153" s="172">
        <f t="shared" si="147"/>
        <v>0</v>
      </c>
      <c r="Q153" s="172">
        <f t="shared" si="158"/>
        <v>0</v>
      </c>
      <c r="R153" s="172">
        <f t="shared" si="149"/>
        <v>0</v>
      </c>
      <c r="S153" s="172">
        <f t="shared" si="150"/>
        <v>0</v>
      </c>
      <c r="T153" s="172">
        <f t="shared" si="159"/>
        <v>0</v>
      </c>
      <c r="U153" s="172">
        <f t="shared" si="160"/>
        <v>0</v>
      </c>
      <c r="V153" s="182">
        <f t="shared" si="153"/>
        <v>0</v>
      </c>
      <c r="W153" s="182">
        <f t="shared" si="154"/>
        <v>0</v>
      </c>
    </row>
    <row r="154" spans="2:23" x14ac:dyDescent="0.25">
      <c r="B154" s="165">
        <v>211131</v>
      </c>
      <c r="C154" s="100" t="s">
        <v>148</v>
      </c>
      <c r="D154" s="106" t="s">
        <v>230</v>
      </c>
      <c r="E154" s="172">
        <v>0</v>
      </c>
      <c r="F154" s="172">
        <v>0</v>
      </c>
      <c r="G154" s="172">
        <v>0</v>
      </c>
      <c r="H154" s="172">
        <v>0</v>
      </c>
      <c r="I154" s="172">
        <v>0</v>
      </c>
      <c r="J154" s="172">
        <v>0</v>
      </c>
      <c r="K154" s="172">
        <f t="shared" si="161"/>
        <v>0</v>
      </c>
      <c r="L154" s="172">
        <f t="shared" si="155"/>
        <v>0</v>
      </c>
      <c r="M154" s="172">
        <f t="shared" si="156"/>
        <v>0</v>
      </c>
      <c r="N154" s="172">
        <v>0</v>
      </c>
      <c r="O154" s="172">
        <f t="shared" si="157"/>
        <v>0</v>
      </c>
      <c r="P154" s="172">
        <f t="shared" si="147"/>
        <v>0</v>
      </c>
      <c r="Q154" s="172">
        <f t="shared" si="158"/>
        <v>0</v>
      </c>
      <c r="R154" s="172">
        <f t="shared" si="149"/>
        <v>0</v>
      </c>
      <c r="S154" s="172">
        <f t="shared" si="150"/>
        <v>0</v>
      </c>
      <c r="T154" s="172">
        <f t="shared" si="159"/>
        <v>0</v>
      </c>
      <c r="U154" s="172">
        <f t="shared" si="160"/>
        <v>0</v>
      </c>
      <c r="V154" s="182">
        <f t="shared" si="153"/>
        <v>0</v>
      </c>
      <c r="W154" s="182">
        <f t="shared" si="154"/>
        <v>0</v>
      </c>
    </row>
    <row r="155" spans="2:23" x14ac:dyDescent="0.25">
      <c r="B155" s="165">
        <v>211132</v>
      </c>
      <c r="C155" s="100" t="s">
        <v>148</v>
      </c>
      <c r="D155" s="106" t="s">
        <v>231</v>
      </c>
      <c r="E155" s="172">
        <v>0</v>
      </c>
      <c r="F155" s="172">
        <v>0</v>
      </c>
      <c r="G155" s="172">
        <v>0</v>
      </c>
      <c r="H155" s="172">
        <v>0</v>
      </c>
      <c r="I155" s="172">
        <v>0</v>
      </c>
      <c r="J155" s="172">
        <v>0</v>
      </c>
      <c r="K155" s="172">
        <f t="shared" si="161"/>
        <v>0</v>
      </c>
      <c r="L155" s="172">
        <f t="shared" si="155"/>
        <v>0</v>
      </c>
      <c r="M155" s="172">
        <f t="shared" si="156"/>
        <v>0</v>
      </c>
      <c r="N155" s="172">
        <v>0</v>
      </c>
      <c r="O155" s="172">
        <f t="shared" si="157"/>
        <v>0</v>
      </c>
      <c r="P155" s="172">
        <f t="shared" si="147"/>
        <v>0</v>
      </c>
      <c r="Q155" s="172">
        <f t="shared" si="158"/>
        <v>0</v>
      </c>
      <c r="R155" s="172">
        <f t="shared" si="149"/>
        <v>0</v>
      </c>
      <c r="S155" s="172">
        <f t="shared" si="150"/>
        <v>0</v>
      </c>
      <c r="T155" s="172">
        <f t="shared" si="159"/>
        <v>0</v>
      </c>
      <c r="U155" s="172">
        <f t="shared" si="160"/>
        <v>0</v>
      </c>
      <c r="V155" s="182">
        <f t="shared" si="153"/>
        <v>0</v>
      </c>
      <c r="W155" s="182">
        <f t="shared" si="154"/>
        <v>0</v>
      </c>
    </row>
    <row r="156" spans="2:23" x14ac:dyDescent="0.25">
      <c r="B156" s="165">
        <v>211134</v>
      </c>
      <c r="C156" s="100" t="s">
        <v>148</v>
      </c>
      <c r="D156" s="106" t="s">
        <v>232</v>
      </c>
      <c r="E156" s="172">
        <v>0</v>
      </c>
      <c r="F156" s="172">
        <v>0</v>
      </c>
      <c r="G156" s="172">
        <v>0</v>
      </c>
      <c r="H156" s="172">
        <v>0</v>
      </c>
      <c r="I156" s="172">
        <v>0</v>
      </c>
      <c r="J156" s="172">
        <v>0</v>
      </c>
      <c r="K156" s="172">
        <f t="shared" si="161"/>
        <v>0</v>
      </c>
      <c r="L156" s="172">
        <f t="shared" si="155"/>
        <v>0</v>
      </c>
      <c r="M156" s="172">
        <f t="shared" si="156"/>
        <v>0</v>
      </c>
      <c r="N156" s="172">
        <v>0</v>
      </c>
      <c r="O156" s="172">
        <f t="shared" si="157"/>
        <v>0</v>
      </c>
      <c r="P156" s="172">
        <f t="shared" si="147"/>
        <v>0</v>
      </c>
      <c r="Q156" s="172">
        <f t="shared" si="158"/>
        <v>0</v>
      </c>
      <c r="R156" s="172">
        <f t="shared" si="149"/>
        <v>0</v>
      </c>
      <c r="S156" s="172">
        <f t="shared" si="150"/>
        <v>0</v>
      </c>
      <c r="T156" s="172">
        <f t="shared" si="159"/>
        <v>0</v>
      </c>
      <c r="U156" s="172">
        <f t="shared" si="160"/>
        <v>0</v>
      </c>
      <c r="V156" s="182">
        <f t="shared" si="153"/>
        <v>0</v>
      </c>
      <c r="W156" s="182">
        <f t="shared" si="154"/>
        <v>0</v>
      </c>
    </row>
    <row r="157" spans="2:23" x14ac:dyDescent="0.25">
      <c r="B157" s="165">
        <v>211135</v>
      </c>
      <c r="C157" s="100" t="s">
        <v>148</v>
      </c>
      <c r="D157" s="106" t="s">
        <v>233</v>
      </c>
      <c r="E157" s="172">
        <v>0</v>
      </c>
      <c r="F157" s="172">
        <v>0</v>
      </c>
      <c r="G157" s="172">
        <v>0</v>
      </c>
      <c r="H157" s="172">
        <v>0</v>
      </c>
      <c r="I157" s="172">
        <v>0</v>
      </c>
      <c r="J157" s="172">
        <v>0</v>
      </c>
      <c r="K157" s="172">
        <f t="shared" si="161"/>
        <v>0</v>
      </c>
      <c r="L157" s="172">
        <f t="shared" si="155"/>
        <v>0</v>
      </c>
      <c r="M157" s="172">
        <f t="shared" si="156"/>
        <v>0</v>
      </c>
      <c r="N157" s="172">
        <v>0</v>
      </c>
      <c r="O157" s="172">
        <f t="shared" si="157"/>
        <v>0</v>
      </c>
      <c r="P157" s="172">
        <f t="shared" ref="P157:P199" si="162">IF((N157-O157)&gt;0, MIN((N157-O157), MAX(0, (H157-O157) - (L157-O157))), 0)</f>
        <v>0</v>
      </c>
      <c r="Q157" s="172">
        <f t="shared" si="158"/>
        <v>0</v>
      </c>
      <c r="R157" s="172">
        <f t="shared" si="149"/>
        <v>0</v>
      </c>
      <c r="S157" s="172">
        <f t="shared" si="150"/>
        <v>0</v>
      </c>
      <c r="T157" s="172">
        <f t="shared" si="159"/>
        <v>0</v>
      </c>
      <c r="U157" s="172">
        <f t="shared" si="160"/>
        <v>0</v>
      </c>
      <c r="V157" s="182">
        <f t="shared" si="153"/>
        <v>0</v>
      </c>
      <c r="W157" s="182">
        <f t="shared" si="154"/>
        <v>0</v>
      </c>
    </row>
    <row r="158" spans="2:23" x14ac:dyDescent="0.25">
      <c r="B158" s="165">
        <v>211136</v>
      </c>
      <c r="C158" s="100" t="s">
        <v>148</v>
      </c>
      <c r="D158" s="106" t="s">
        <v>234</v>
      </c>
      <c r="E158" s="172">
        <v>0</v>
      </c>
      <c r="F158" s="172">
        <v>0</v>
      </c>
      <c r="G158" s="172">
        <v>0</v>
      </c>
      <c r="H158" s="172">
        <v>0</v>
      </c>
      <c r="I158" s="172">
        <v>0</v>
      </c>
      <c r="J158" s="172">
        <v>0</v>
      </c>
      <c r="K158" s="172">
        <f t="shared" si="161"/>
        <v>0</v>
      </c>
      <c r="L158" s="172">
        <f t="shared" si="155"/>
        <v>0</v>
      </c>
      <c r="M158" s="172">
        <f t="shared" si="156"/>
        <v>0</v>
      </c>
      <c r="N158" s="172">
        <v>0</v>
      </c>
      <c r="O158" s="172">
        <f t="shared" si="157"/>
        <v>0</v>
      </c>
      <c r="P158" s="172">
        <f t="shared" si="162"/>
        <v>0</v>
      </c>
      <c r="Q158" s="172">
        <f t="shared" si="158"/>
        <v>0</v>
      </c>
      <c r="R158" s="172">
        <f t="shared" si="149"/>
        <v>0</v>
      </c>
      <c r="S158" s="172">
        <f t="shared" si="150"/>
        <v>0</v>
      </c>
      <c r="T158" s="172">
        <f t="shared" si="159"/>
        <v>0</v>
      </c>
      <c r="U158" s="172">
        <f t="shared" si="160"/>
        <v>0</v>
      </c>
      <c r="V158" s="182">
        <f t="shared" si="153"/>
        <v>0</v>
      </c>
      <c r="W158" s="182">
        <f t="shared" si="154"/>
        <v>0</v>
      </c>
    </row>
    <row r="159" spans="2:23" x14ac:dyDescent="0.25">
      <c r="B159" s="165">
        <v>211137</v>
      </c>
      <c r="C159" s="100" t="s">
        <v>148</v>
      </c>
      <c r="D159" s="106" t="s">
        <v>235</v>
      </c>
      <c r="E159" s="172">
        <v>1109651.19</v>
      </c>
      <c r="F159" s="172">
        <v>0</v>
      </c>
      <c r="G159" s="172">
        <v>1109651.19</v>
      </c>
      <c r="H159" s="172">
        <v>0</v>
      </c>
      <c r="I159" s="172">
        <v>0</v>
      </c>
      <c r="J159" s="172">
        <v>91338.45</v>
      </c>
      <c r="K159" s="172">
        <f t="shared" si="161"/>
        <v>91338.45</v>
      </c>
      <c r="L159" s="172">
        <f t="shared" si="155"/>
        <v>0</v>
      </c>
      <c r="M159" s="172">
        <f t="shared" si="156"/>
        <v>0</v>
      </c>
      <c r="N159" s="172">
        <v>0</v>
      </c>
      <c r="O159" s="172">
        <f t="shared" si="157"/>
        <v>1018312.74</v>
      </c>
      <c r="P159" s="172">
        <f t="shared" si="162"/>
        <v>0</v>
      </c>
      <c r="Q159" s="172">
        <f t="shared" si="158"/>
        <v>-1018312.74</v>
      </c>
      <c r="R159" s="172">
        <f t="shared" si="149"/>
        <v>1018312.74</v>
      </c>
      <c r="S159" s="172">
        <f t="shared" si="150"/>
        <v>0</v>
      </c>
      <c r="T159" s="172">
        <f t="shared" si="159"/>
        <v>0</v>
      </c>
      <c r="U159" s="172">
        <f t="shared" si="160"/>
        <v>1018312.74</v>
      </c>
      <c r="V159" s="182">
        <f t="shared" si="153"/>
        <v>-1018312.74</v>
      </c>
      <c r="W159" s="182">
        <f t="shared" si="154"/>
        <v>91338.45</v>
      </c>
    </row>
    <row r="160" spans="2:23" x14ac:dyDescent="0.25">
      <c r="B160" s="165">
        <v>211138</v>
      </c>
      <c r="C160" s="100" t="s">
        <v>148</v>
      </c>
      <c r="D160" s="106" t="s">
        <v>236</v>
      </c>
      <c r="E160" s="172">
        <v>0</v>
      </c>
      <c r="F160" s="172">
        <v>0</v>
      </c>
      <c r="G160" s="172">
        <v>0</v>
      </c>
      <c r="H160" s="172">
        <v>0</v>
      </c>
      <c r="I160" s="172">
        <v>0</v>
      </c>
      <c r="J160" s="172">
        <v>0</v>
      </c>
      <c r="K160" s="172">
        <f t="shared" si="161"/>
        <v>0</v>
      </c>
      <c r="L160" s="172">
        <f t="shared" si="155"/>
        <v>0</v>
      </c>
      <c r="M160" s="172">
        <f t="shared" si="156"/>
        <v>0</v>
      </c>
      <c r="N160" s="172">
        <v>0</v>
      </c>
      <c r="O160" s="172">
        <f t="shared" si="157"/>
        <v>0</v>
      </c>
      <c r="P160" s="172">
        <f t="shared" si="162"/>
        <v>0</v>
      </c>
      <c r="Q160" s="172">
        <f t="shared" si="158"/>
        <v>0</v>
      </c>
      <c r="R160" s="172">
        <f t="shared" si="149"/>
        <v>0</v>
      </c>
      <c r="S160" s="172">
        <f t="shared" si="150"/>
        <v>0</v>
      </c>
      <c r="T160" s="172">
        <f t="shared" si="159"/>
        <v>0</v>
      </c>
      <c r="U160" s="172">
        <f t="shared" si="160"/>
        <v>0</v>
      </c>
      <c r="V160" s="182">
        <f t="shared" si="153"/>
        <v>0</v>
      </c>
      <c r="W160" s="182">
        <f t="shared" si="154"/>
        <v>0</v>
      </c>
    </row>
    <row r="161" spans="2:23" x14ac:dyDescent="0.25">
      <c r="B161" s="165">
        <v>211139</v>
      </c>
      <c r="C161" s="100" t="s">
        <v>148</v>
      </c>
      <c r="D161" s="106" t="s">
        <v>164</v>
      </c>
      <c r="E161" s="172">
        <v>1363001.0799999998</v>
      </c>
      <c r="F161" s="172">
        <v>0</v>
      </c>
      <c r="G161" s="172">
        <v>1363001.0799999998</v>
      </c>
      <c r="H161" s="172">
        <v>0</v>
      </c>
      <c r="I161" s="172">
        <v>0</v>
      </c>
      <c r="J161" s="172">
        <v>1363001</v>
      </c>
      <c r="K161" s="172">
        <f t="shared" si="161"/>
        <v>1363001</v>
      </c>
      <c r="L161" s="172">
        <f t="shared" si="155"/>
        <v>0</v>
      </c>
      <c r="M161" s="172">
        <f t="shared" si="156"/>
        <v>0</v>
      </c>
      <c r="N161" s="172">
        <v>0</v>
      </c>
      <c r="O161" s="172">
        <f t="shared" si="157"/>
        <v>7.9999999841675162E-2</v>
      </c>
      <c r="P161" s="172">
        <f t="shared" si="162"/>
        <v>0</v>
      </c>
      <c r="Q161" s="172">
        <f t="shared" si="158"/>
        <v>-7.9999999841675162E-2</v>
      </c>
      <c r="R161" s="172">
        <f t="shared" si="149"/>
        <v>7.9999999841675162E-2</v>
      </c>
      <c r="S161" s="172">
        <f t="shared" si="150"/>
        <v>0</v>
      </c>
      <c r="T161" s="172">
        <f t="shared" si="159"/>
        <v>0</v>
      </c>
      <c r="U161" s="172">
        <f t="shared" si="160"/>
        <v>7.9999999841675162E-2</v>
      </c>
      <c r="V161" s="182">
        <f t="shared" si="153"/>
        <v>-7.9999999841675162E-2</v>
      </c>
      <c r="W161" s="182">
        <f t="shared" si="154"/>
        <v>1363001</v>
      </c>
    </row>
    <row r="162" spans="2:23" x14ac:dyDescent="0.25">
      <c r="B162" s="165">
        <v>211140</v>
      </c>
      <c r="C162" s="100" t="s">
        <v>148</v>
      </c>
      <c r="D162" s="106" t="s">
        <v>165</v>
      </c>
      <c r="E162" s="172">
        <v>3596475.8499999996</v>
      </c>
      <c r="F162" s="172">
        <v>0</v>
      </c>
      <c r="G162" s="172">
        <v>3596475.8499999996</v>
      </c>
      <c r="H162" s="172">
        <v>0</v>
      </c>
      <c r="I162" s="172">
        <v>0</v>
      </c>
      <c r="J162" s="172">
        <v>2820678.21</v>
      </c>
      <c r="K162" s="172">
        <f t="shared" si="161"/>
        <v>2820678.21</v>
      </c>
      <c r="L162" s="172">
        <f t="shared" si="155"/>
        <v>0</v>
      </c>
      <c r="M162" s="172">
        <f t="shared" si="156"/>
        <v>0</v>
      </c>
      <c r="N162" s="172">
        <v>2154964.6399999997</v>
      </c>
      <c r="O162" s="172">
        <f t="shared" si="157"/>
        <v>775797.63999999966</v>
      </c>
      <c r="P162" s="172">
        <f t="shared" si="162"/>
        <v>0</v>
      </c>
      <c r="Q162" s="172">
        <f t="shared" si="158"/>
        <v>1379167</v>
      </c>
      <c r="R162" s="172">
        <f t="shared" si="149"/>
        <v>-1379167</v>
      </c>
      <c r="S162" s="172">
        <f t="shared" si="150"/>
        <v>0</v>
      </c>
      <c r="T162" s="172">
        <f t="shared" si="159"/>
        <v>0</v>
      </c>
      <c r="U162" s="172">
        <f t="shared" si="160"/>
        <v>-1379167</v>
      </c>
      <c r="V162" s="182">
        <f t="shared" si="153"/>
        <v>1379167</v>
      </c>
      <c r="W162" s="182">
        <f t="shared" si="154"/>
        <v>4975642.8499999996</v>
      </c>
    </row>
    <row r="163" spans="2:23" x14ac:dyDescent="0.25">
      <c r="B163" s="165">
        <v>211141</v>
      </c>
      <c r="C163" s="100" t="s">
        <v>148</v>
      </c>
      <c r="D163" s="106" t="s">
        <v>237</v>
      </c>
      <c r="E163" s="172">
        <v>0</v>
      </c>
      <c r="F163" s="172">
        <v>0</v>
      </c>
      <c r="G163" s="172">
        <v>0</v>
      </c>
      <c r="H163" s="172">
        <v>0</v>
      </c>
      <c r="I163" s="172">
        <v>0</v>
      </c>
      <c r="J163" s="172">
        <v>0</v>
      </c>
      <c r="K163" s="172">
        <f t="shared" si="161"/>
        <v>0</v>
      </c>
      <c r="L163" s="172">
        <f t="shared" si="155"/>
        <v>0</v>
      </c>
      <c r="M163" s="172">
        <f t="shared" si="156"/>
        <v>0</v>
      </c>
      <c r="N163" s="172">
        <v>0</v>
      </c>
      <c r="O163" s="172">
        <f t="shared" si="157"/>
        <v>0</v>
      </c>
      <c r="P163" s="172">
        <f t="shared" si="162"/>
        <v>0</v>
      </c>
      <c r="Q163" s="172">
        <f t="shared" si="158"/>
        <v>0</v>
      </c>
      <c r="R163" s="172">
        <f t="shared" si="149"/>
        <v>0</v>
      </c>
      <c r="S163" s="172">
        <f t="shared" si="150"/>
        <v>0</v>
      </c>
      <c r="T163" s="172">
        <f t="shared" si="159"/>
        <v>0</v>
      </c>
      <c r="U163" s="172">
        <f t="shared" si="160"/>
        <v>0</v>
      </c>
      <c r="V163" s="182">
        <f t="shared" si="153"/>
        <v>0</v>
      </c>
      <c r="W163" s="182">
        <f t="shared" si="154"/>
        <v>0</v>
      </c>
    </row>
    <row r="164" spans="2:23" x14ac:dyDescent="0.25">
      <c r="B164" s="165">
        <v>211142</v>
      </c>
      <c r="C164" s="100" t="s">
        <v>148</v>
      </c>
      <c r="D164" s="106" t="s">
        <v>166</v>
      </c>
      <c r="E164" s="172">
        <v>0</v>
      </c>
      <c r="F164" s="172">
        <v>0</v>
      </c>
      <c r="G164" s="172">
        <v>0</v>
      </c>
      <c r="H164" s="172">
        <v>0</v>
      </c>
      <c r="I164" s="172">
        <v>0</v>
      </c>
      <c r="J164" s="172">
        <v>0</v>
      </c>
      <c r="K164" s="172">
        <f t="shared" si="161"/>
        <v>0</v>
      </c>
      <c r="L164" s="172">
        <f t="shared" si="155"/>
        <v>0</v>
      </c>
      <c r="M164" s="172">
        <f t="shared" si="156"/>
        <v>0</v>
      </c>
      <c r="N164" s="172">
        <v>0</v>
      </c>
      <c r="O164" s="172">
        <f t="shared" si="157"/>
        <v>0</v>
      </c>
      <c r="P164" s="172">
        <f t="shared" si="162"/>
        <v>0</v>
      </c>
      <c r="Q164" s="172">
        <f t="shared" si="158"/>
        <v>0</v>
      </c>
      <c r="R164" s="172">
        <f t="shared" si="149"/>
        <v>0</v>
      </c>
      <c r="S164" s="172">
        <f t="shared" si="150"/>
        <v>0</v>
      </c>
      <c r="T164" s="172">
        <f t="shared" si="159"/>
        <v>0</v>
      </c>
      <c r="U164" s="172">
        <f t="shared" si="160"/>
        <v>0</v>
      </c>
      <c r="V164" s="182">
        <f t="shared" si="153"/>
        <v>0</v>
      </c>
      <c r="W164" s="182">
        <f t="shared" si="154"/>
        <v>0</v>
      </c>
    </row>
    <row r="165" spans="2:23" x14ac:dyDescent="0.25">
      <c r="B165" s="165">
        <v>211143</v>
      </c>
      <c r="C165" s="100" t="s">
        <v>148</v>
      </c>
      <c r="D165" s="106" t="s">
        <v>238</v>
      </c>
      <c r="E165" s="172">
        <v>0</v>
      </c>
      <c r="F165" s="172">
        <v>0</v>
      </c>
      <c r="G165" s="172">
        <v>0</v>
      </c>
      <c r="H165" s="172">
        <v>0</v>
      </c>
      <c r="I165" s="172">
        <v>0</v>
      </c>
      <c r="J165" s="172">
        <v>0</v>
      </c>
      <c r="K165" s="172">
        <f t="shared" si="161"/>
        <v>0</v>
      </c>
      <c r="L165" s="172">
        <f t="shared" si="155"/>
        <v>0</v>
      </c>
      <c r="M165" s="172">
        <f t="shared" si="156"/>
        <v>0</v>
      </c>
      <c r="N165" s="172">
        <v>0</v>
      </c>
      <c r="O165" s="172">
        <f t="shared" si="157"/>
        <v>0</v>
      </c>
      <c r="P165" s="172">
        <f t="shared" si="162"/>
        <v>0</v>
      </c>
      <c r="Q165" s="172">
        <f t="shared" si="158"/>
        <v>0</v>
      </c>
      <c r="R165" s="172">
        <f t="shared" si="149"/>
        <v>0</v>
      </c>
      <c r="S165" s="172">
        <f t="shared" si="150"/>
        <v>0</v>
      </c>
      <c r="T165" s="172">
        <f t="shared" si="159"/>
        <v>0</v>
      </c>
      <c r="U165" s="172">
        <f t="shared" si="160"/>
        <v>0</v>
      </c>
      <c r="V165" s="182">
        <f t="shared" si="153"/>
        <v>0</v>
      </c>
      <c r="W165" s="182">
        <f t="shared" si="154"/>
        <v>0</v>
      </c>
    </row>
    <row r="166" spans="2:23" x14ac:dyDescent="0.25">
      <c r="B166" s="165">
        <v>211144</v>
      </c>
      <c r="C166" s="100" t="s">
        <v>148</v>
      </c>
      <c r="D166" s="106" t="s">
        <v>167</v>
      </c>
      <c r="E166" s="172">
        <v>353662.57000000007</v>
      </c>
      <c r="F166" s="172">
        <v>0</v>
      </c>
      <c r="G166" s="172">
        <v>353662.57000000007</v>
      </c>
      <c r="H166" s="172">
        <v>0</v>
      </c>
      <c r="I166" s="172">
        <v>0</v>
      </c>
      <c r="J166" s="172">
        <v>353662.57</v>
      </c>
      <c r="K166" s="172">
        <f t="shared" si="161"/>
        <v>353662.57</v>
      </c>
      <c r="L166" s="172">
        <f t="shared" si="155"/>
        <v>0</v>
      </c>
      <c r="M166" s="172">
        <f t="shared" si="156"/>
        <v>0</v>
      </c>
      <c r="N166" s="172">
        <v>0</v>
      </c>
      <c r="O166" s="172">
        <f t="shared" si="157"/>
        <v>5.8207660913467407E-11</v>
      </c>
      <c r="P166" s="172">
        <f t="shared" si="162"/>
        <v>0</v>
      </c>
      <c r="Q166" s="172">
        <f t="shared" si="158"/>
        <v>-5.8207660913467407E-11</v>
      </c>
      <c r="R166" s="172">
        <f t="shared" si="149"/>
        <v>5.8207660913467407E-11</v>
      </c>
      <c r="S166" s="172">
        <f t="shared" si="150"/>
        <v>0</v>
      </c>
      <c r="T166" s="172">
        <f t="shared" si="159"/>
        <v>0</v>
      </c>
      <c r="U166" s="172">
        <f t="shared" si="160"/>
        <v>5.8207660913467407E-11</v>
      </c>
      <c r="V166" s="182">
        <f t="shared" si="153"/>
        <v>-5.8207660913467407E-11</v>
      </c>
      <c r="W166" s="182">
        <f t="shared" si="154"/>
        <v>353662.57</v>
      </c>
    </row>
    <row r="167" spans="2:23" x14ac:dyDescent="0.25">
      <c r="B167" s="165">
        <v>211145</v>
      </c>
      <c r="C167" s="100" t="s">
        <v>148</v>
      </c>
      <c r="D167" s="106" t="s">
        <v>361</v>
      </c>
      <c r="E167" s="172">
        <v>1736209.08</v>
      </c>
      <c r="F167" s="172">
        <v>0</v>
      </c>
      <c r="G167" s="172">
        <v>1736209.08</v>
      </c>
      <c r="H167" s="172">
        <v>0</v>
      </c>
      <c r="I167" s="172">
        <v>0</v>
      </c>
      <c r="J167" s="172">
        <v>1726935.62</v>
      </c>
      <c r="K167" s="172">
        <f t="shared" si="161"/>
        <v>1726935.62</v>
      </c>
      <c r="L167" s="172">
        <f t="shared" si="155"/>
        <v>0</v>
      </c>
      <c r="M167" s="172">
        <f t="shared" si="156"/>
        <v>0</v>
      </c>
      <c r="N167" s="172">
        <v>9273.4599999999627</v>
      </c>
      <c r="O167" s="172">
        <f t="shared" si="157"/>
        <v>9273.4599999999627</v>
      </c>
      <c r="P167" s="172">
        <f t="shared" si="162"/>
        <v>0</v>
      </c>
      <c r="Q167" s="172">
        <f t="shared" si="158"/>
        <v>0</v>
      </c>
      <c r="R167" s="172">
        <f t="shared" si="149"/>
        <v>0</v>
      </c>
      <c r="S167" s="172">
        <f t="shared" si="150"/>
        <v>0</v>
      </c>
      <c r="T167" s="172">
        <f t="shared" si="159"/>
        <v>0</v>
      </c>
      <c r="U167" s="172">
        <f t="shared" si="160"/>
        <v>0</v>
      </c>
      <c r="V167" s="182">
        <f t="shared" si="153"/>
        <v>0</v>
      </c>
      <c r="W167" s="182">
        <f t="shared" si="154"/>
        <v>1736209.08</v>
      </c>
    </row>
    <row r="168" spans="2:23" x14ac:dyDescent="0.25">
      <c r="B168" s="165">
        <v>211146</v>
      </c>
      <c r="C168" s="100" t="s">
        <v>148</v>
      </c>
      <c r="D168" s="106" t="s">
        <v>168</v>
      </c>
      <c r="E168" s="172">
        <v>1080487.5</v>
      </c>
      <c r="F168" s="172">
        <v>0</v>
      </c>
      <c r="G168" s="172">
        <v>1080487.5</v>
      </c>
      <c r="H168" s="172">
        <v>0</v>
      </c>
      <c r="I168" s="172">
        <v>0</v>
      </c>
      <c r="J168" s="172">
        <v>858387.5</v>
      </c>
      <c r="K168" s="172">
        <f t="shared" si="161"/>
        <v>858387.5</v>
      </c>
      <c r="L168" s="172">
        <f t="shared" si="155"/>
        <v>0</v>
      </c>
      <c r="M168" s="172">
        <f t="shared" si="156"/>
        <v>0</v>
      </c>
      <c r="N168" s="172">
        <v>222100</v>
      </c>
      <c r="O168" s="172">
        <f t="shared" si="157"/>
        <v>222100</v>
      </c>
      <c r="P168" s="172">
        <f t="shared" si="162"/>
        <v>0</v>
      </c>
      <c r="Q168" s="172">
        <f t="shared" si="158"/>
        <v>0</v>
      </c>
      <c r="R168" s="172">
        <f t="shared" si="149"/>
        <v>0</v>
      </c>
      <c r="S168" s="172">
        <f t="shared" si="150"/>
        <v>0</v>
      </c>
      <c r="T168" s="172">
        <f t="shared" si="159"/>
        <v>0</v>
      </c>
      <c r="U168" s="172">
        <f t="shared" si="160"/>
        <v>0</v>
      </c>
      <c r="V168" s="182">
        <f t="shared" si="153"/>
        <v>0</v>
      </c>
      <c r="W168" s="182">
        <f t="shared" ref="W168:W199" si="163">J168+N168</f>
        <v>1080487.5</v>
      </c>
    </row>
    <row r="169" spans="2:23" x14ac:dyDescent="0.25">
      <c r="B169" s="165">
        <v>211147</v>
      </c>
      <c r="C169" s="100" t="s">
        <v>148</v>
      </c>
      <c r="D169" s="106" t="s">
        <v>169</v>
      </c>
      <c r="E169" s="172">
        <v>487995</v>
      </c>
      <c r="F169" s="172">
        <v>0</v>
      </c>
      <c r="G169" s="172">
        <v>487995</v>
      </c>
      <c r="H169" s="172">
        <v>0</v>
      </c>
      <c r="I169" s="172">
        <v>0</v>
      </c>
      <c r="J169" s="172">
        <v>303880</v>
      </c>
      <c r="K169" s="172">
        <f t="shared" si="161"/>
        <v>303880</v>
      </c>
      <c r="L169" s="172">
        <f t="shared" si="155"/>
        <v>0</v>
      </c>
      <c r="M169" s="172">
        <f t="shared" si="156"/>
        <v>0</v>
      </c>
      <c r="N169" s="172">
        <v>184115</v>
      </c>
      <c r="O169" s="172">
        <f t="shared" si="157"/>
        <v>184115</v>
      </c>
      <c r="P169" s="172">
        <f t="shared" si="162"/>
        <v>0</v>
      </c>
      <c r="Q169" s="172">
        <f t="shared" si="158"/>
        <v>0</v>
      </c>
      <c r="R169" s="172">
        <f t="shared" si="149"/>
        <v>0</v>
      </c>
      <c r="S169" s="172">
        <f t="shared" si="150"/>
        <v>0</v>
      </c>
      <c r="T169" s="172">
        <f t="shared" si="159"/>
        <v>0</v>
      </c>
      <c r="U169" s="172">
        <f t="shared" si="160"/>
        <v>0</v>
      </c>
      <c r="V169" s="182">
        <f t="shared" si="153"/>
        <v>0</v>
      </c>
      <c r="W169" s="182">
        <f t="shared" si="163"/>
        <v>487995</v>
      </c>
    </row>
    <row r="170" spans="2:23" x14ac:dyDescent="0.25">
      <c r="B170" s="165">
        <v>211148</v>
      </c>
      <c r="C170" s="100" t="s">
        <v>148</v>
      </c>
      <c r="D170" s="106" t="s">
        <v>170</v>
      </c>
      <c r="E170" s="172">
        <v>31526.719999999739</v>
      </c>
      <c r="F170" s="172">
        <v>0</v>
      </c>
      <c r="G170" s="172">
        <v>31526.719999999739</v>
      </c>
      <c r="H170" s="172">
        <v>0</v>
      </c>
      <c r="I170" s="172">
        <v>0</v>
      </c>
      <c r="J170" s="172">
        <v>0</v>
      </c>
      <c r="K170" s="172">
        <f t="shared" si="161"/>
        <v>0</v>
      </c>
      <c r="L170" s="172">
        <f t="shared" si="155"/>
        <v>0</v>
      </c>
      <c r="M170" s="172">
        <f t="shared" si="156"/>
        <v>0</v>
      </c>
      <c r="N170" s="172">
        <v>31526.719999999739</v>
      </c>
      <c r="O170" s="172">
        <f t="shared" si="157"/>
        <v>31526.719999999739</v>
      </c>
      <c r="P170" s="172">
        <f t="shared" si="162"/>
        <v>0</v>
      </c>
      <c r="Q170" s="172">
        <f t="shared" si="158"/>
        <v>0</v>
      </c>
      <c r="R170" s="172">
        <f t="shared" si="149"/>
        <v>0</v>
      </c>
      <c r="S170" s="172">
        <f t="shared" si="150"/>
        <v>0</v>
      </c>
      <c r="T170" s="172">
        <f t="shared" si="159"/>
        <v>0</v>
      </c>
      <c r="U170" s="172">
        <f t="shared" si="160"/>
        <v>0</v>
      </c>
      <c r="V170" s="182">
        <f t="shared" si="153"/>
        <v>0</v>
      </c>
      <c r="W170" s="182">
        <f t="shared" si="163"/>
        <v>31526.719999999739</v>
      </c>
    </row>
    <row r="171" spans="2:23" x14ac:dyDescent="0.25">
      <c r="B171" s="165">
        <v>211149</v>
      </c>
      <c r="C171" s="100" t="s">
        <v>148</v>
      </c>
      <c r="D171" s="106" t="s">
        <v>239</v>
      </c>
      <c r="E171" s="172">
        <v>0</v>
      </c>
      <c r="F171" s="172">
        <v>0</v>
      </c>
      <c r="G171" s="172">
        <v>0</v>
      </c>
      <c r="H171" s="172">
        <v>0</v>
      </c>
      <c r="I171" s="172">
        <v>0</v>
      </c>
      <c r="J171" s="172">
        <v>-424.42</v>
      </c>
      <c r="K171" s="172">
        <f t="shared" si="161"/>
        <v>0</v>
      </c>
      <c r="L171" s="172">
        <f t="shared" si="155"/>
        <v>0</v>
      </c>
      <c r="M171" s="172">
        <f t="shared" si="156"/>
        <v>-424.42</v>
      </c>
      <c r="N171" s="172">
        <v>0</v>
      </c>
      <c r="O171" s="172">
        <f t="shared" si="157"/>
        <v>0</v>
      </c>
      <c r="P171" s="172">
        <f t="shared" si="162"/>
        <v>0</v>
      </c>
      <c r="Q171" s="172">
        <f t="shared" si="158"/>
        <v>0</v>
      </c>
      <c r="R171" s="172">
        <f t="shared" si="149"/>
        <v>424.42</v>
      </c>
      <c r="S171" s="172">
        <f t="shared" si="150"/>
        <v>0</v>
      </c>
      <c r="T171" s="172">
        <f t="shared" si="159"/>
        <v>0</v>
      </c>
      <c r="U171" s="172">
        <f t="shared" si="160"/>
        <v>424.42</v>
      </c>
      <c r="V171" s="182">
        <f t="shared" si="153"/>
        <v>-424.42</v>
      </c>
      <c r="W171" s="182">
        <f t="shared" si="163"/>
        <v>-424.42</v>
      </c>
    </row>
    <row r="172" spans="2:23" x14ac:dyDescent="0.25">
      <c r="B172" s="165">
        <v>211150</v>
      </c>
      <c r="C172" s="100" t="s">
        <v>148</v>
      </c>
      <c r="D172" s="106" t="s">
        <v>171</v>
      </c>
      <c r="E172" s="172">
        <v>3346212</v>
      </c>
      <c r="F172" s="172">
        <v>0</v>
      </c>
      <c r="G172" s="172">
        <f>1546212+1800000</f>
        <v>3346212</v>
      </c>
      <c r="H172" s="172">
        <v>0</v>
      </c>
      <c r="I172" s="172">
        <v>0</v>
      </c>
      <c r="J172" s="172">
        <v>1855335.93</v>
      </c>
      <c r="K172" s="172">
        <f t="shared" si="161"/>
        <v>1855335.93</v>
      </c>
      <c r="L172" s="172">
        <f t="shared" si="155"/>
        <v>0</v>
      </c>
      <c r="M172" s="172">
        <f t="shared" si="156"/>
        <v>0</v>
      </c>
      <c r="N172" s="172">
        <v>1490876.07</v>
      </c>
      <c r="O172" s="172">
        <f t="shared" si="157"/>
        <v>1490876.07</v>
      </c>
      <c r="P172" s="172">
        <f t="shared" si="162"/>
        <v>0</v>
      </c>
      <c r="Q172" s="172">
        <f t="shared" si="158"/>
        <v>0</v>
      </c>
      <c r="R172" s="172">
        <f t="shared" si="149"/>
        <v>0</v>
      </c>
      <c r="S172" s="172">
        <f t="shared" si="150"/>
        <v>0</v>
      </c>
      <c r="T172" s="172">
        <f t="shared" si="159"/>
        <v>0</v>
      </c>
      <c r="U172" s="172">
        <f t="shared" si="160"/>
        <v>0</v>
      </c>
      <c r="V172" s="182">
        <f t="shared" si="153"/>
        <v>0</v>
      </c>
      <c r="W172" s="182">
        <f t="shared" si="163"/>
        <v>3346212</v>
      </c>
    </row>
    <row r="173" spans="2:23" x14ac:dyDescent="0.25">
      <c r="B173" s="165">
        <v>211151</v>
      </c>
      <c r="C173" s="100" t="s">
        <v>148</v>
      </c>
      <c r="D173" s="106" t="s">
        <v>240</v>
      </c>
      <c r="E173" s="172">
        <v>0</v>
      </c>
      <c r="F173" s="172">
        <v>0</v>
      </c>
      <c r="G173" s="172">
        <v>0</v>
      </c>
      <c r="H173" s="172">
        <v>0</v>
      </c>
      <c r="I173" s="172">
        <v>0</v>
      </c>
      <c r="J173" s="172">
        <v>-1757.25</v>
      </c>
      <c r="K173" s="172">
        <f t="shared" si="161"/>
        <v>0</v>
      </c>
      <c r="L173" s="172">
        <f t="shared" si="155"/>
        <v>0</v>
      </c>
      <c r="M173" s="172">
        <f t="shared" si="156"/>
        <v>-1757.25</v>
      </c>
      <c r="N173" s="172">
        <v>0</v>
      </c>
      <c r="O173" s="172">
        <f t="shared" si="157"/>
        <v>0</v>
      </c>
      <c r="P173" s="172">
        <f t="shared" si="162"/>
        <v>0</v>
      </c>
      <c r="Q173" s="172">
        <f t="shared" si="158"/>
        <v>0</v>
      </c>
      <c r="R173" s="172">
        <f t="shared" si="149"/>
        <v>1757.25</v>
      </c>
      <c r="S173" s="172">
        <f t="shared" si="150"/>
        <v>0</v>
      </c>
      <c r="T173" s="172">
        <f t="shared" si="159"/>
        <v>0</v>
      </c>
      <c r="U173" s="172">
        <f t="shared" si="160"/>
        <v>1757.25</v>
      </c>
      <c r="V173" s="182">
        <f t="shared" si="153"/>
        <v>-1757.25</v>
      </c>
      <c r="W173" s="182">
        <f t="shared" si="163"/>
        <v>-1757.25</v>
      </c>
    </row>
    <row r="174" spans="2:23" x14ac:dyDescent="0.25">
      <c r="B174" s="165">
        <v>211152</v>
      </c>
      <c r="C174" s="100" t="s">
        <v>148</v>
      </c>
      <c r="D174" s="106" t="s">
        <v>172</v>
      </c>
      <c r="E174" s="172">
        <v>35000</v>
      </c>
      <c r="F174" s="172">
        <v>0</v>
      </c>
      <c r="G174" s="172">
        <v>35000</v>
      </c>
      <c r="H174" s="172">
        <v>0</v>
      </c>
      <c r="I174" s="172">
        <v>0</v>
      </c>
      <c r="J174" s="172">
        <v>33005.33</v>
      </c>
      <c r="K174" s="172">
        <f t="shared" si="161"/>
        <v>33005.33</v>
      </c>
      <c r="L174" s="172">
        <f t="shared" si="155"/>
        <v>0</v>
      </c>
      <c r="M174" s="172">
        <f t="shared" si="156"/>
        <v>0</v>
      </c>
      <c r="N174" s="172">
        <v>0</v>
      </c>
      <c r="O174" s="172">
        <f t="shared" si="157"/>
        <v>1994.6699999999983</v>
      </c>
      <c r="P174" s="172">
        <f t="shared" si="162"/>
        <v>0</v>
      </c>
      <c r="Q174" s="172">
        <f t="shared" si="158"/>
        <v>-1994.6699999999983</v>
      </c>
      <c r="R174" s="172">
        <f t="shared" si="149"/>
        <v>1994.6699999999983</v>
      </c>
      <c r="S174" s="172">
        <f t="shared" si="150"/>
        <v>0</v>
      </c>
      <c r="T174" s="172">
        <f t="shared" si="159"/>
        <v>0</v>
      </c>
      <c r="U174" s="172">
        <f t="shared" si="160"/>
        <v>1994.6699999999983</v>
      </c>
      <c r="V174" s="182">
        <f t="shared" si="153"/>
        <v>-1994.6699999999983</v>
      </c>
      <c r="W174" s="182">
        <f t="shared" si="163"/>
        <v>33005.33</v>
      </c>
    </row>
    <row r="175" spans="2:23" x14ac:dyDescent="0.25">
      <c r="B175" s="165">
        <v>211153</v>
      </c>
      <c r="C175" s="100" t="s">
        <v>148</v>
      </c>
      <c r="D175" s="106" t="s">
        <v>173</v>
      </c>
      <c r="E175" s="172">
        <v>1747174.08</v>
      </c>
      <c r="F175" s="172">
        <v>0</v>
      </c>
      <c r="G175" s="172">
        <v>1747174.08</v>
      </c>
      <c r="H175" s="172">
        <v>0</v>
      </c>
      <c r="I175" s="172">
        <v>0</v>
      </c>
      <c r="J175" s="172">
        <v>1319523.8</v>
      </c>
      <c r="K175" s="172">
        <f t="shared" si="161"/>
        <v>1319523.8</v>
      </c>
      <c r="L175" s="172">
        <f t="shared" si="155"/>
        <v>0</v>
      </c>
      <c r="M175" s="172">
        <f t="shared" si="156"/>
        <v>0</v>
      </c>
      <c r="N175" s="172">
        <v>427650.28</v>
      </c>
      <c r="O175" s="172">
        <f t="shared" si="157"/>
        <v>427650.28</v>
      </c>
      <c r="P175" s="172">
        <f t="shared" si="162"/>
        <v>0</v>
      </c>
      <c r="Q175" s="172">
        <f t="shared" si="158"/>
        <v>0</v>
      </c>
      <c r="R175" s="172">
        <f t="shared" si="149"/>
        <v>0</v>
      </c>
      <c r="S175" s="172">
        <f t="shared" si="150"/>
        <v>0</v>
      </c>
      <c r="T175" s="172">
        <f t="shared" si="159"/>
        <v>0</v>
      </c>
      <c r="U175" s="172">
        <f t="shared" si="160"/>
        <v>0</v>
      </c>
      <c r="V175" s="182">
        <f t="shared" si="153"/>
        <v>0</v>
      </c>
      <c r="W175" s="182">
        <f t="shared" si="163"/>
        <v>1747174.08</v>
      </c>
    </row>
    <row r="176" spans="2:23" x14ac:dyDescent="0.25">
      <c r="B176" s="165">
        <v>211154</v>
      </c>
      <c r="C176" s="100" t="s">
        <v>148</v>
      </c>
      <c r="D176" s="106" t="s">
        <v>174</v>
      </c>
      <c r="E176" s="172">
        <v>4103516</v>
      </c>
      <c r="F176" s="172">
        <v>0</v>
      </c>
      <c r="G176" s="172">
        <v>4103516</v>
      </c>
      <c r="H176" s="172">
        <v>0</v>
      </c>
      <c r="I176" s="172">
        <v>0</v>
      </c>
      <c r="J176" s="172">
        <v>4103516</v>
      </c>
      <c r="K176" s="172">
        <f t="shared" si="161"/>
        <v>4103516</v>
      </c>
      <c r="L176" s="172">
        <f t="shared" si="155"/>
        <v>0</v>
      </c>
      <c r="M176" s="172">
        <f t="shared" si="156"/>
        <v>0</v>
      </c>
      <c r="N176" s="172">
        <v>0</v>
      </c>
      <c r="O176" s="172">
        <f t="shared" si="157"/>
        <v>0</v>
      </c>
      <c r="P176" s="172">
        <f t="shared" si="162"/>
        <v>0</v>
      </c>
      <c r="Q176" s="172">
        <f t="shared" si="158"/>
        <v>0</v>
      </c>
      <c r="R176" s="172">
        <f t="shared" si="149"/>
        <v>0</v>
      </c>
      <c r="S176" s="172">
        <f t="shared" si="150"/>
        <v>0</v>
      </c>
      <c r="T176" s="172">
        <f t="shared" si="159"/>
        <v>0</v>
      </c>
      <c r="U176" s="172">
        <f t="shared" si="160"/>
        <v>0</v>
      </c>
      <c r="V176" s="182">
        <f t="shared" si="153"/>
        <v>0</v>
      </c>
      <c r="W176" s="182">
        <f t="shared" si="163"/>
        <v>4103516</v>
      </c>
    </row>
    <row r="177" spans="2:23" x14ac:dyDescent="0.25">
      <c r="B177" s="165">
        <v>211155</v>
      </c>
      <c r="C177" s="100" t="s">
        <v>148</v>
      </c>
      <c r="D177" s="106" t="s">
        <v>175</v>
      </c>
      <c r="E177" s="172">
        <v>818000</v>
      </c>
      <c r="F177" s="172">
        <v>0</v>
      </c>
      <c r="G177" s="172">
        <v>818000</v>
      </c>
      <c r="H177" s="172">
        <v>0</v>
      </c>
      <c r="I177" s="172">
        <v>0</v>
      </c>
      <c r="J177" s="172">
        <v>810986.35</v>
      </c>
      <c r="K177" s="172">
        <f t="shared" si="161"/>
        <v>810986.35</v>
      </c>
      <c r="L177" s="172">
        <f t="shared" si="155"/>
        <v>0</v>
      </c>
      <c r="M177" s="172">
        <f t="shared" si="156"/>
        <v>0</v>
      </c>
      <c r="N177" s="172">
        <v>0</v>
      </c>
      <c r="O177" s="172">
        <f t="shared" si="157"/>
        <v>7013.6500000000233</v>
      </c>
      <c r="P177" s="172">
        <f t="shared" si="162"/>
        <v>0</v>
      </c>
      <c r="Q177" s="172">
        <f t="shared" si="158"/>
        <v>-7013.6500000000233</v>
      </c>
      <c r="R177" s="172">
        <f t="shared" si="149"/>
        <v>7013.6500000000233</v>
      </c>
      <c r="S177" s="172">
        <f t="shared" si="150"/>
        <v>0</v>
      </c>
      <c r="T177" s="172">
        <f t="shared" si="159"/>
        <v>0</v>
      </c>
      <c r="U177" s="172">
        <f t="shared" si="160"/>
        <v>7013.6500000000233</v>
      </c>
      <c r="V177" s="182">
        <f t="shared" si="153"/>
        <v>-7013.6500000000233</v>
      </c>
      <c r="W177" s="182">
        <f t="shared" si="163"/>
        <v>810986.35</v>
      </c>
    </row>
    <row r="178" spans="2:23" x14ac:dyDescent="0.25">
      <c r="B178" s="165">
        <v>211156</v>
      </c>
      <c r="C178" s="100" t="s">
        <v>148</v>
      </c>
      <c r="D178" s="106" t="s">
        <v>176</v>
      </c>
      <c r="E178" s="172">
        <v>789237.3</v>
      </c>
      <c r="F178" s="172">
        <v>0</v>
      </c>
      <c r="G178" s="172">
        <v>789237.3</v>
      </c>
      <c r="H178" s="172">
        <v>0</v>
      </c>
      <c r="I178" s="172">
        <v>0</v>
      </c>
      <c r="J178" s="172">
        <f>909236.3</f>
        <v>909236.3</v>
      </c>
      <c r="K178" s="172">
        <f t="shared" si="161"/>
        <v>789237.3</v>
      </c>
      <c r="L178" s="172">
        <f t="shared" si="155"/>
        <v>0</v>
      </c>
      <c r="M178" s="172">
        <f t="shared" si="156"/>
        <v>119999</v>
      </c>
      <c r="N178" s="172">
        <v>10001</v>
      </c>
      <c r="O178" s="172">
        <f t="shared" si="157"/>
        <v>0</v>
      </c>
      <c r="P178" s="172">
        <f t="shared" si="162"/>
        <v>0</v>
      </c>
      <c r="Q178" s="172">
        <f t="shared" si="158"/>
        <v>10001</v>
      </c>
      <c r="R178" s="172">
        <f t="shared" si="149"/>
        <v>-130000</v>
      </c>
      <c r="S178" s="172">
        <f t="shared" si="150"/>
        <v>0</v>
      </c>
      <c r="T178" s="172">
        <f t="shared" si="159"/>
        <v>0</v>
      </c>
      <c r="U178" s="172">
        <f t="shared" si="160"/>
        <v>-130000</v>
      </c>
      <c r="V178" s="182">
        <f t="shared" si="153"/>
        <v>130000</v>
      </c>
      <c r="W178" s="182">
        <f t="shared" si="163"/>
        <v>919237.3</v>
      </c>
    </row>
    <row r="179" spans="2:23" x14ac:dyDescent="0.25">
      <c r="B179" s="165">
        <v>211157</v>
      </c>
      <c r="C179" s="100" t="s">
        <v>148</v>
      </c>
      <c r="D179" s="106" t="s">
        <v>362</v>
      </c>
      <c r="E179" s="172">
        <v>612214</v>
      </c>
      <c r="F179" s="172">
        <v>0</v>
      </c>
      <c r="G179" s="172">
        <v>612214</v>
      </c>
      <c r="H179" s="172">
        <v>0</v>
      </c>
      <c r="I179" s="172">
        <v>0</v>
      </c>
      <c r="J179" s="172">
        <v>592080.4</v>
      </c>
      <c r="K179" s="172">
        <f t="shared" si="161"/>
        <v>592080.4</v>
      </c>
      <c r="L179" s="172">
        <f t="shared" si="155"/>
        <v>0</v>
      </c>
      <c r="M179" s="172">
        <f t="shared" si="156"/>
        <v>0</v>
      </c>
      <c r="N179" s="172">
        <v>20133.599999999977</v>
      </c>
      <c r="O179" s="172">
        <f t="shared" si="157"/>
        <v>20133.599999999977</v>
      </c>
      <c r="P179" s="172">
        <f t="shared" si="162"/>
        <v>0</v>
      </c>
      <c r="Q179" s="172">
        <f t="shared" si="158"/>
        <v>0</v>
      </c>
      <c r="R179" s="172">
        <f t="shared" si="149"/>
        <v>0</v>
      </c>
      <c r="S179" s="172">
        <f t="shared" si="150"/>
        <v>0</v>
      </c>
      <c r="T179" s="172">
        <f t="shared" si="159"/>
        <v>0</v>
      </c>
      <c r="U179" s="172">
        <f t="shared" si="160"/>
        <v>0</v>
      </c>
      <c r="V179" s="182">
        <f t="shared" si="153"/>
        <v>0</v>
      </c>
      <c r="W179" s="182">
        <f t="shared" si="163"/>
        <v>612214</v>
      </c>
    </row>
    <row r="180" spans="2:23" x14ac:dyDescent="0.25">
      <c r="B180" s="165">
        <v>211158</v>
      </c>
      <c r="C180" s="100" t="s">
        <v>148</v>
      </c>
      <c r="D180" s="106" t="s">
        <v>177</v>
      </c>
      <c r="E180" s="172">
        <v>428400</v>
      </c>
      <c r="F180" s="172">
        <v>0</v>
      </c>
      <c r="G180" s="172">
        <v>428400</v>
      </c>
      <c r="H180" s="172">
        <v>0</v>
      </c>
      <c r="I180" s="172">
        <v>0</v>
      </c>
      <c r="J180" s="172">
        <v>357000</v>
      </c>
      <c r="K180" s="172">
        <f t="shared" si="161"/>
        <v>357000</v>
      </c>
      <c r="L180" s="172">
        <f t="shared" si="155"/>
        <v>0</v>
      </c>
      <c r="M180" s="172">
        <f t="shared" si="156"/>
        <v>0</v>
      </c>
      <c r="N180" s="172">
        <v>71400</v>
      </c>
      <c r="O180" s="172">
        <f t="shared" si="157"/>
        <v>71400</v>
      </c>
      <c r="P180" s="172">
        <f t="shared" si="162"/>
        <v>0</v>
      </c>
      <c r="Q180" s="172">
        <f t="shared" si="158"/>
        <v>0</v>
      </c>
      <c r="R180" s="172">
        <f t="shared" si="149"/>
        <v>0</v>
      </c>
      <c r="S180" s="172">
        <f t="shared" si="150"/>
        <v>0</v>
      </c>
      <c r="T180" s="172">
        <f t="shared" si="159"/>
        <v>0</v>
      </c>
      <c r="U180" s="172">
        <f t="shared" si="160"/>
        <v>0</v>
      </c>
      <c r="V180" s="182">
        <f t="shared" si="153"/>
        <v>0</v>
      </c>
      <c r="W180" s="182">
        <f t="shared" si="163"/>
        <v>428400</v>
      </c>
    </row>
    <row r="181" spans="2:23" x14ac:dyDescent="0.25">
      <c r="B181" s="165">
        <v>211159</v>
      </c>
      <c r="C181" s="100" t="s">
        <v>148</v>
      </c>
      <c r="D181" s="106" t="s">
        <v>241</v>
      </c>
      <c r="E181" s="172">
        <v>0</v>
      </c>
      <c r="F181" s="172">
        <v>0</v>
      </c>
      <c r="G181" s="172">
        <v>0</v>
      </c>
      <c r="H181" s="172">
        <v>0</v>
      </c>
      <c r="I181" s="172">
        <v>0</v>
      </c>
      <c r="J181" s="172">
        <v>53550</v>
      </c>
      <c r="K181" s="172">
        <v>53550</v>
      </c>
      <c r="L181" s="172">
        <f t="shared" si="155"/>
        <v>0</v>
      </c>
      <c r="M181" s="172">
        <f t="shared" si="156"/>
        <v>0</v>
      </c>
      <c r="N181" s="172">
        <v>0</v>
      </c>
      <c r="O181" s="172">
        <f t="shared" si="157"/>
        <v>-53550</v>
      </c>
      <c r="P181" s="172">
        <f t="shared" si="162"/>
        <v>0</v>
      </c>
      <c r="Q181" s="172">
        <f t="shared" si="158"/>
        <v>53550</v>
      </c>
      <c r="R181" s="172">
        <f t="shared" si="149"/>
        <v>-53550</v>
      </c>
      <c r="S181" s="172">
        <f t="shared" si="150"/>
        <v>0</v>
      </c>
      <c r="T181" s="172">
        <f t="shared" si="159"/>
        <v>0</v>
      </c>
      <c r="U181" s="172">
        <f t="shared" si="160"/>
        <v>-53550</v>
      </c>
      <c r="V181" s="182">
        <f t="shared" si="153"/>
        <v>53550</v>
      </c>
      <c r="W181" s="182">
        <f t="shared" si="163"/>
        <v>53550</v>
      </c>
    </row>
    <row r="182" spans="2:23" x14ac:dyDescent="0.25">
      <c r="B182" s="165">
        <v>211160</v>
      </c>
      <c r="C182" s="100" t="s">
        <v>148</v>
      </c>
      <c r="D182" s="106" t="s">
        <v>178</v>
      </c>
      <c r="E182" s="172">
        <v>1370000</v>
      </c>
      <c r="F182" s="172">
        <v>0</v>
      </c>
      <c r="G182" s="172">
        <v>1370000</v>
      </c>
      <c r="H182" s="172">
        <v>0</v>
      </c>
      <c r="I182" s="172">
        <v>0</v>
      </c>
      <c r="J182" s="172">
        <v>1000000</v>
      </c>
      <c r="K182" s="172">
        <f t="shared" ref="K182:K197" si="164">IF(AND(G182&gt;0, J182&gt;0), MIN(J182, G182), 0)</f>
        <v>1000000</v>
      </c>
      <c r="L182" s="172">
        <f t="shared" si="155"/>
        <v>0</v>
      </c>
      <c r="M182" s="172">
        <f t="shared" si="156"/>
        <v>0</v>
      </c>
      <c r="N182" s="172">
        <v>370000</v>
      </c>
      <c r="O182" s="172">
        <f t="shared" si="157"/>
        <v>370000</v>
      </c>
      <c r="P182" s="172">
        <f t="shared" si="162"/>
        <v>0</v>
      </c>
      <c r="Q182" s="172">
        <f t="shared" si="158"/>
        <v>0</v>
      </c>
      <c r="R182" s="172">
        <f t="shared" si="149"/>
        <v>0</v>
      </c>
      <c r="S182" s="172">
        <f t="shared" si="150"/>
        <v>0</v>
      </c>
      <c r="T182" s="172">
        <f t="shared" si="159"/>
        <v>0</v>
      </c>
      <c r="U182" s="172">
        <f t="shared" si="160"/>
        <v>0</v>
      </c>
      <c r="V182" s="182">
        <f t="shared" si="153"/>
        <v>0</v>
      </c>
      <c r="W182" s="182">
        <f t="shared" si="163"/>
        <v>1370000</v>
      </c>
    </row>
    <row r="183" spans="2:23" x14ac:dyDescent="0.25">
      <c r="B183" s="165">
        <v>211161</v>
      </c>
      <c r="C183" s="100" t="s">
        <v>148</v>
      </c>
      <c r="D183" s="106" t="s">
        <v>179</v>
      </c>
      <c r="E183" s="172">
        <v>472430</v>
      </c>
      <c r="F183" s="172">
        <v>0</v>
      </c>
      <c r="G183" s="172">
        <v>472430</v>
      </c>
      <c r="H183" s="172">
        <v>0</v>
      </c>
      <c r="I183" s="172">
        <v>0</v>
      </c>
      <c r="J183" s="172">
        <v>424830</v>
      </c>
      <c r="K183" s="172">
        <f t="shared" si="164"/>
        <v>424830</v>
      </c>
      <c r="L183" s="172">
        <f t="shared" si="155"/>
        <v>0</v>
      </c>
      <c r="M183" s="172">
        <f t="shared" si="156"/>
        <v>0</v>
      </c>
      <c r="N183" s="172">
        <v>47600</v>
      </c>
      <c r="O183" s="172">
        <f t="shared" si="157"/>
        <v>47600</v>
      </c>
      <c r="P183" s="172">
        <f t="shared" si="162"/>
        <v>0</v>
      </c>
      <c r="Q183" s="172">
        <f t="shared" si="158"/>
        <v>0</v>
      </c>
      <c r="R183" s="172">
        <f t="shared" si="149"/>
        <v>0</v>
      </c>
      <c r="S183" s="172">
        <f t="shared" si="150"/>
        <v>0</v>
      </c>
      <c r="T183" s="172">
        <f t="shared" si="159"/>
        <v>0</v>
      </c>
      <c r="U183" s="172">
        <f t="shared" si="160"/>
        <v>0</v>
      </c>
      <c r="V183" s="182">
        <f t="shared" si="153"/>
        <v>0</v>
      </c>
      <c r="W183" s="182">
        <f t="shared" si="163"/>
        <v>472430</v>
      </c>
    </row>
    <row r="184" spans="2:23" x14ac:dyDescent="0.25">
      <c r="B184" s="165">
        <v>211162</v>
      </c>
      <c r="C184" s="100" t="s">
        <v>148</v>
      </c>
      <c r="D184" s="106" t="s">
        <v>180</v>
      </c>
      <c r="E184" s="172">
        <v>1045935.62</v>
      </c>
      <c r="F184" s="172">
        <v>0</v>
      </c>
      <c r="G184" s="172">
        <v>1045935.62</v>
      </c>
      <c r="H184" s="172">
        <v>0</v>
      </c>
      <c r="I184" s="172">
        <v>0</v>
      </c>
      <c r="J184" s="172">
        <v>1045415.04</v>
      </c>
      <c r="K184" s="172">
        <f t="shared" si="164"/>
        <v>1045415.04</v>
      </c>
      <c r="L184" s="172">
        <f t="shared" si="155"/>
        <v>0</v>
      </c>
      <c r="M184" s="172">
        <f t="shared" si="156"/>
        <v>0</v>
      </c>
      <c r="N184" s="172">
        <v>0</v>
      </c>
      <c r="O184" s="172">
        <f t="shared" si="157"/>
        <v>520.57999999995809</v>
      </c>
      <c r="P184" s="172">
        <f t="shared" si="162"/>
        <v>0</v>
      </c>
      <c r="Q184" s="172">
        <f t="shared" si="158"/>
        <v>-520.57999999995809</v>
      </c>
      <c r="R184" s="172">
        <f t="shared" si="149"/>
        <v>520.57999999995809</v>
      </c>
      <c r="S184" s="172">
        <f t="shared" si="150"/>
        <v>0</v>
      </c>
      <c r="T184" s="172">
        <f t="shared" si="159"/>
        <v>0</v>
      </c>
      <c r="U184" s="172">
        <f t="shared" si="160"/>
        <v>520.57999999995809</v>
      </c>
      <c r="V184" s="182">
        <f t="shared" si="153"/>
        <v>-520.57999999995809</v>
      </c>
      <c r="W184" s="182">
        <f t="shared" si="163"/>
        <v>1045415.04</v>
      </c>
    </row>
    <row r="185" spans="2:23" x14ac:dyDescent="0.25">
      <c r="B185" s="165">
        <v>211163</v>
      </c>
      <c r="C185" s="100" t="s">
        <v>148</v>
      </c>
      <c r="D185" s="106" t="s">
        <v>181</v>
      </c>
      <c r="E185" s="172">
        <v>1550000</v>
      </c>
      <c r="F185" s="172">
        <v>0</v>
      </c>
      <c r="G185" s="172">
        <v>1550000</v>
      </c>
      <c r="H185" s="172">
        <v>0</v>
      </c>
      <c r="I185" s="172">
        <v>0</v>
      </c>
      <c r="J185" s="172">
        <v>275266.06</v>
      </c>
      <c r="K185" s="172">
        <f t="shared" si="164"/>
        <v>275266.06</v>
      </c>
      <c r="L185" s="172">
        <f t="shared" si="155"/>
        <v>0</v>
      </c>
      <c r="M185" s="172">
        <f t="shared" si="156"/>
        <v>0</v>
      </c>
      <c r="N185" s="172">
        <v>1274733.94</v>
      </c>
      <c r="O185" s="172">
        <f t="shared" si="157"/>
        <v>1274733.94</v>
      </c>
      <c r="P185" s="172">
        <f t="shared" si="162"/>
        <v>0</v>
      </c>
      <c r="Q185" s="172">
        <f t="shared" si="158"/>
        <v>0</v>
      </c>
      <c r="R185" s="172">
        <f t="shared" si="149"/>
        <v>0</v>
      </c>
      <c r="S185" s="172">
        <f t="shared" si="150"/>
        <v>0</v>
      </c>
      <c r="T185" s="172">
        <f t="shared" si="159"/>
        <v>0</v>
      </c>
      <c r="U185" s="172">
        <f t="shared" si="160"/>
        <v>0</v>
      </c>
      <c r="V185" s="182">
        <f t="shared" si="153"/>
        <v>0</v>
      </c>
      <c r="W185" s="182">
        <f t="shared" si="163"/>
        <v>1550000</v>
      </c>
    </row>
    <row r="186" spans="2:23" x14ac:dyDescent="0.25">
      <c r="B186" s="165">
        <v>211164</v>
      </c>
      <c r="C186" s="100" t="s">
        <v>148</v>
      </c>
      <c r="D186" s="106" t="s">
        <v>182</v>
      </c>
      <c r="E186" s="172">
        <v>76790.63</v>
      </c>
      <c r="F186" s="172">
        <v>0</v>
      </c>
      <c r="G186" s="172">
        <v>76790.63</v>
      </c>
      <c r="H186" s="172">
        <v>0</v>
      </c>
      <c r="I186" s="172">
        <v>0</v>
      </c>
      <c r="J186" s="172">
        <v>76789.38</v>
      </c>
      <c r="K186" s="172">
        <f t="shared" si="164"/>
        <v>76789.38</v>
      </c>
      <c r="L186" s="172">
        <f t="shared" si="155"/>
        <v>0</v>
      </c>
      <c r="M186" s="172">
        <f t="shared" si="156"/>
        <v>0</v>
      </c>
      <c r="N186" s="172">
        <v>0</v>
      </c>
      <c r="O186" s="172">
        <f t="shared" si="157"/>
        <v>1.25</v>
      </c>
      <c r="P186" s="172">
        <f t="shared" si="162"/>
        <v>0</v>
      </c>
      <c r="Q186" s="172">
        <f t="shared" si="158"/>
        <v>-1.25</v>
      </c>
      <c r="R186" s="172">
        <f t="shared" si="149"/>
        <v>1.25</v>
      </c>
      <c r="S186" s="172">
        <f t="shared" si="150"/>
        <v>0</v>
      </c>
      <c r="T186" s="172">
        <f t="shared" si="159"/>
        <v>0</v>
      </c>
      <c r="U186" s="172">
        <f t="shared" si="160"/>
        <v>1.25</v>
      </c>
      <c r="V186" s="182">
        <f t="shared" si="153"/>
        <v>-1.25</v>
      </c>
      <c r="W186" s="182">
        <f t="shared" si="163"/>
        <v>76789.38</v>
      </c>
    </row>
    <row r="187" spans="2:23" x14ac:dyDescent="0.25">
      <c r="B187" s="165">
        <v>211165</v>
      </c>
      <c r="C187" s="100" t="s">
        <v>148</v>
      </c>
      <c r="D187" s="106" t="s">
        <v>183</v>
      </c>
      <c r="E187" s="172">
        <v>6393818</v>
      </c>
      <c r="F187" s="172">
        <v>0</v>
      </c>
      <c r="G187" s="172">
        <v>6393818</v>
      </c>
      <c r="H187" s="172">
        <v>0</v>
      </c>
      <c r="I187" s="172">
        <v>0</v>
      </c>
      <c r="J187" s="172">
        <v>5591853.7400000002</v>
      </c>
      <c r="K187" s="172">
        <f t="shared" si="164"/>
        <v>5591853.7400000002</v>
      </c>
      <c r="L187" s="172">
        <f t="shared" si="155"/>
        <v>0</v>
      </c>
      <c r="M187" s="172">
        <f t="shared" si="156"/>
        <v>0</v>
      </c>
      <c r="N187" s="172">
        <v>801964.25999999978</v>
      </c>
      <c r="O187" s="172">
        <f t="shared" si="157"/>
        <v>801964.25999999978</v>
      </c>
      <c r="P187" s="172">
        <f t="shared" si="162"/>
        <v>0</v>
      </c>
      <c r="Q187" s="172">
        <f t="shared" si="158"/>
        <v>0</v>
      </c>
      <c r="R187" s="172">
        <f t="shared" si="149"/>
        <v>0</v>
      </c>
      <c r="S187" s="172">
        <f t="shared" si="150"/>
        <v>0</v>
      </c>
      <c r="T187" s="172">
        <f t="shared" si="159"/>
        <v>0</v>
      </c>
      <c r="U187" s="172">
        <f t="shared" si="160"/>
        <v>0</v>
      </c>
      <c r="V187" s="182">
        <f t="shared" si="153"/>
        <v>0</v>
      </c>
      <c r="W187" s="182">
        <f t="shared" si="163"/>
        <v>6393818</v>
      </c>
    </row>
    <row r="188" spans="2:23" x14ac:dyDescent="0.25">
      <c r="B188" s="165">
        <v>211166</v>
      </c>
      <c r="C188" s="100" t="s">
        <v>148</v>
      </c>
      <c r="D188" s="106" t="s">
        <v>184</v>
      </c>
      <c r="E188" s="172">
        <v>0</v>
      </c>
      <c r="F188" s="172">
        <v>0</v>
      </c>
      <c r="G188" s="172">
        <v>0</v>
      </c>
      <c r="H188" s="172">
        <v>0</v>
      </c>
      <c r="I188" s="172">
        <v>0</v>
      </c>
      <c r="J188" s="172">
        <v>0</v>
      </c>
      <c r="K188" s="172">
        <f t="shared" si="164"/>
        <v>0</v>
      </c>
      <c r="L188" s="172">
        <f t="shared" si="155"/>
        <v>0</v>
      </c>
      <c r="M188" s="172">
        <f t="shared" si="156"/>
        <v>0</v>
      </c>
      <c r="N188" s="172">
        <v>0</v>
      </c>
      <c r="O188" s="172">
        <f t="shared" si="157"/>
        <v>0</v>
      </c>
      <c r="P188" s="172">
        <f t="shared" si="162"/>
        <v>0</v>
      </c>
      <c r="Q188" s="172">
        <f t="shared" si="158"/>
        <v>0</v>
      </c>
      <c r="R188" s="172">
        <f t="shared" si="149"/>
        <v>0</v>
      </c>
      <c r="S188" s="172">
        <f t="shared" si="150"/>
        <v>0</v>
      </c>
      <c r="T188" s="172">
        <f t="shared" si="159"/>
        <v>0</v>
      </c>
      <c r="U188" s="172">
        <f t="shared" si="160"/>
        <v>0</v>
      </c>
      <c r="V188" s="182">
        <f t="shared" si="153"/>
        <v>0</v>
      </c>
      <c r="W188" s="182">
        <f t="shared" si="163"/>
        <v>0</v>
      </c>
    </row>
    <row r="189" spans="2:23" x14ac:dyDescent="0.25">
      <c r="B189" s="165">
        <v>211167</v>
      </c>
      <c r="C189" s="100" t="s">
        <v>148</v>
      </c>
      <c r="D189" s="106" t="s">
        <v>185</v>
      </c>
      <c r="E189" s="172">
        <v>714872.07000000007</v>
      </c>
      <c r="F189" s="172">
        <v>0</v>
      </c>
      <c r="G189" s="172">
        <v>714872.07000000007</v>
      </c>
      <c r="H189" s="172">
        <v>0</v>
      </c>
      <c r="I189" s="172">
        <v>0</v>
      </c>
      <c r="J189" s="172">
        <v>713568.13</v>
      </c>
      <c r="K189" s="172">
        <f t="shared" si="164"/>
        <v>713568.13</v>
      </c>
      <c r="L189" s="172">
        <f t="shared" si="155"/>
        <v>0</v>
      </c>
      <c r="M189" s="172">
        <f t="shared" si="156"/>
        <v>0</v>
      </c>
      <c r="N189" s="172">
        <v>1303.9400000000605</v>
      </c>
      <c r="O189" s="172">
        <f t="shared" si="157"/>
        <v>1303.9400000000605</v>
      </c>
      <c r="P189" s="172">
        <f t="shared" si="162"/>
        <v>0</v>
      </c>
      <c r="Q189" s="172">
        <f t="shared" si="158"/>
        <v>0</v>
      </c>
      <c r="R189" s="172">
        <f t="shared" si="149"/>
        <v>0</v>
      </c>
      <c r="S189" s="172">
        <f t="shared" si="150"/>
        <v>0</v>
      </c>
      <c r="T189" s="172">
        <f t="shared" si="159"/>
        <v>0</v>
      </c>
      <c r="U189" s="172">
        <f t="shared" si="160"/>
        <v>0</v>
      </c>
      <c r="V189" s="182">
        <f t="shared" si="153"/>
        <v>0</v>
      </c>
      <c r="W189" s="182">
        <f t="shared" si="163"/>
        <v>714872.07000000007</v>
      </c>
    </row>
    <row r="190" spans="2:23" x14ac:dyDescent="0.25">
      <c r="B190" s="165">
        <v>211168</v>
      </c>
      <c r="C190" s="100" t="s">
        <v>148</v>
      </c>
      <c r="D190" s="106" t="s">
        <v>186</v>
      </c>
      <c r="E190" s="172">
        <v>75096.570000000007</v>
      </c>
      <c r="F190" s="172">
        <v>0</v>
      </c>
      <c r="G190" s="172">
        <v>75096.570000000007</v>
      </c>
      <c r="H190" s="172">
        <v>0</v>
      </c>
      <c r="I190" s="172">
        <v>0</v>
      </c>
      <c r="J190" s="172">
        <v>55992.98</v>
      </c>
      <c r="K190" s="172">
        <f t="shared" si="164"/>
        <v>55992.98</v>
      </c>
      <c r="L190" s="172">
        <f t="shared" si="155"/>
        <v>0</v>
      </c>
      <c r="M190" s="172">
        <f t="shared" si="156"/>
        <v>0</v>
      </c>
      <c r="N190" s="172">
        <v>19103.590000000004</v>
      </c>
      <c r="O190" s="172">
        <f t="shared" si="157"/>
        <v>19103.590000000004</v>
      </c>
      <c r="P190" s="172">
        <f t="shared" si="162"/>
        <v>0</v>
      </c>
      <c r="Q190" s="172">
        <f t="shared" si="158"/>
        <v>0</v>
      </c>
      <c r="R190" s="172">
        <f t="shared" si="149"/>
        <v>0</v>
      </c>
      <c r="S190" s="172">
        <f t="shared" si="150"/>
        <v>0</v>
      </c>
      <c r="T190" s="172">
        <f t="shared" si="159"/>
        <v>0</v>
      </c>
      <c r="U190" s="172">
        <f t="shared" si="160"/>
        <v>0</v>
      </c>
      <c r="V190" s="182">
        <f t="shared" si="153"/>
        <v>0</v>
      </c>
      <c r="W190" s="182">
        <f t="shared" si="163"/>
        <v>75096.570000000007</v>
      </c>
    </row>
    <row r="191" spans="2:23" x14ac:dyDescent="0.25">
      <c r="B191" s="165">
        <v>211169</v>
      </c>
      <c r="C191" s="100" t="s">
        <v>148</v>
      </c>
      <c r="D191" s="106" t="s">
        <v>242</v>
      </c>
      <c r="E191" s="172">
        <v>211520</v>
      </c>
      <c r="F191" s="172">
        <v>0</v>
      </c>
      <c r="G191" s="172">
        <v>211520</v>
      </c>
      <c r="H191" s="172">
        <v>0</v>
      </c>
      <c r="I191" s="172">
        <v>0</v>
      </c>
      <c r="J191" s="172">
        <v>211520</v>
      </c>
      <c r="K191" s="172">
        <f t="shared" si="164"/>
        <v>211520</v>
      </c>
      <c r="L191" s="172">
        <f t="shared" si="155"/>
        <v>0</v>
      </c>
      <c r="M191" s="172">
        <f t="shared" si="156"/>
        <v>0</v>
      </c>
      <c r="N191" s="172">
        <v>0</v>
      </c>
      <c r="O191" s="172">
        <f t="shared" si="157"/>
        <v>0</v>
      </c>
      <c r="P191" s="172">
        <f t="shared" si="162"/>
        <v>0</v>
      </c>
      <c r="Q191" s="172">
        <f t="shared" si="158"/>
        <v>0</v>
      </c>
      <c r="R191" s="172">
        <f t="shared" si="149"/>
        <v>0</v>
      </c>
      <c r="S191" s="172">
        <f t="shared" si="150"/>
        <v>0</v>
      </c>
      <c r="T191" s="172">
        <f t="shared" si="159"/>
        <v>0</v>
      </c>
      <c r="U191" s="172">
        <f t="shared" si="160"/>
        <v>0</v>
      </c>
      <c r="V191" s="182">
        <f t="shared" si="153"/>
        <v>0</v>
      </c>
      <c r="W191" s="182">
        <f t="shared" si="163"/>
        <v>211520</v>
      </c>
    </row>
    <row r="192" spans="2:23" x14ac:dyDescent="0.25">
      <c r="B192" s="165">
        <v>211170</v>
      </c>
      <c r="C192" s="100" t="s">
        <v>148</v>
      </c>
      <c r="D192" s="106" t="s">
        <v>187</v>
      </c>
      <c r="E192" s="172">
        <v>1099388.18</v>
      </c>
      <c r="F192" s="172">
        <v>0</v>
      </c>
      <c r="G192" s="172">
        <v>1099388.18</v>
      </c>
      <c r="H192" s="172">
        <v>0</v>
      </c>
      <c r="I192" s="172">
        <v>0</v>
      </c>
      <c r="J192" s="172">
        <v>358399.95</v>
      </c>
      <c r="K192" s="172">
        <f t="shared" si="164"/>
        <v>358399.95</v>
      </c>
      <c r="L192" s="172">
        <f t="shared" si="155"/>
        <v>0</v>
      </c>
      <c r="M192" s="172">
        <f t="shared" si="156"/>
        <v>0</v>
      </c>
      <c r="N192" s="172">
        <v>740988.23</v>
      </c>
      <c r="O192" s="172">
        <f t="shared" si="157"/>
        <v>740988.23</v>
      </c>
      <c r="P192" s="172">
        <f t="shared" si="162"/>
        <v>0</v>
      </c>
      <c r="Q192" s="172">
        <f t="shared" si="158"/>
        <v>0</v>
      </c>
      <c r="R192" s="172">
        <f t="shared" si="149"/>
        <v>0</v>
      </c>
      <c r="S192" s="172">
        <f t="shared" si="150"/>
        <v>0</v>
      </c>
      <c r="T192" s="172">
        <f t="shared" si="159"/>
        <v>0</v>
      </c>
      <c r="U192" s="172">
        <f t="shared" si="160"/>
        <v>0</v>
      </c>
      <c r="V192" s="182">
        <f t="shared" si="153"/>
        <v>0</v>
      </c>
      <c r="W192" s="182">
        <f t="shared" si="163"/>
        <v>1099388.18</v>
      </c>
    </row>
    <row r="193" spans="2:23" x14ac:dyDescent="0.25">
      <c r="B193" s="165">
        <v>211171</v>
      </c>
      <c r="C193" s="100" t="s">
        <v>148</v>
      </c>
      <c r="D193" s="106" t="s">
        <v>188</v>
      </c>
      <c r="E193" s="172">
        <v>175000</v>
      </c>
      <c r="F193" s="172">
        <v>0</v>
      </c>
      <c r="G193" s="172">
        <v>175000</v>
      </c>
      <c r="H193" s="172">
        <v>0</v>
      </c>
      <c r="I193" s="172">
        <v>0</v>
      </c>
      <c r="J193" s="172">
        <v>169573.6</v>
      </c>
      <c r="K193" s="172">
        <f t="shared" si="164"/>
        <v>169573.6</v>
      </c>
      <c r="L193" s="172">
        <f t="shared" si="155"/>
        <v>0</v>
      </c>
      <c r="M193" s="172">
        <f t="shared" si="156"/>
        <v>0</v>
      </c>
      <c r="N193" s="172">
        <v>0</v>
      </c>
      <c r="O193" s="172">
        <f t="shared" si="157"/>
        <v>5426.3999999999942</v>
      </c>
      <c r="P193" s="172">
        <f t="shared" si="162"/>
        <v>0</v>
      </c>
      <c r="Q193" s="172">
        <f t="shared" si="158"/>
        <v>-5426.3999999999942</v>
      </c>
      <c r="R193" s="172">
        <f t="shared" si="149"/>
        <v>5426.3999999999942</v>
      </c>
      <c r="S193" s="172">
        <f t="shared" si="150"/>
        <v>0</v>
      </c>
      <c r="T193" s="172">
        <f t="shared" si="159"/>
        <v>0</v>
      </c>
      <c r="U193" s="172">
        <f t="shared" si="160"/>
        <v>5426.3999999999942</v>
      </c>
      <c r="V193" s="182">
        <f t="shared" si="153"/>
        <v>-5426.3999999999942</v>
      </c>
      <c r="W193" s="182">
        <f t="shared" si="163"/>
        <v>169573.6</v>
      </c>
    </row>
    <row r="194" spans="2:23" x14ac:dyDescent="0.25">
      <c r="B194" s="165">
        <v>211172</v>
      </c>
      <c r="C194" s="100" t="s">
        <v>148</v>
      </c>
      <c r="D194" s="106" t="s">
        <v>189</v>
      </c>
      <c r="E194" s="172">
        <v>493928</v>
      </c>
      <c r="F194" s="172">
        <v>0</v>
      </c>
      <c r="G194" s="172">
        <v>493928</v>
      </c>
      <c r="H194" s="172">
        <v>0</v>
      </c>
      <c r="I194" s="172">
        <v>0</v>
      </c>
      <c r="J194" s="172">
        <v>0</v>
      </c>
      <c r="K194" s="172">
        <f t="shared" si="164"/>
        <v>0</v>
      </c>
      <c r="L194" s="172">
        <f t="shared" si="155"/>
        <v>0</v>
      </c>
      <c r="M194" s="172">
        <f t="shared" si="156"/>
        <v>0</v>
      </c>
      <c r="N194" s="172">
        <v>493928</v>
      </c>
      <c r="O194" s="172">
        <f t="shared" si="157"/>
        <v>493928</v>
      </c>
      <c r="P194" s="172">
        <f t="shared" si="162"/>
        <v>0</v>
      </c>
      <c r="Q194" s="172">
        <f t="shared" si="158"/>
        <v>0</v>
      </c>
      <c r="R194" s="172">
        <f t="shared" si="149"/>
        <v>0</v>
      </c>
      <c r="S194" s="172">
        <f t="shared" si="150"/>
        <v>0</v>
      </c>
      <c r="T194" s="172">
        <f t="shared" si="159"/>
        <v>0</v>
      </c>
      <c r="U194" s="172">
        <f t="shared" si="160"/>
        <v>0</v>
      </c>
      <c r="V194" s="182">
        <f t="shared" si="153"/>
        <v>0</v>
      </c>
      <c r="W194" s="182">
        <f t="shared" si="163"/>
        <v>493928</v>
      </c>
    </row>
    <row r="195" spans="2:23" x14ac:dyDescent="0.25">
      <c r="B195" s="165">
        <v>211173</v>
      </c>
      <c r="C195" s="100" t="s">
        <v>148</v>
      </c>
      <c r="D195" s="106" t="s">
        <v>190</v>
      </c>
      <c r="E195" s="172">
        <v>50000</v>
      </c>
      <c r="F195" s="172">
        <v>0</v>
      </c>
      <c r="G195" s="172">
        <v>50000</v>
      </c>
      <c r="H195" s="172">
        <v>0</v>
      </c>
      <c r="I195" s="172">
        <v>0</v>
      </c>
      <c r="J195" s="172">
        <v>39977.86</v>
      </c>
      <c r="K195" s="172">
        <f t="shared" si="164"/>
        <v>39977.86</v>
      </c>
      <c r="L195" s="172">
        <f t="shared" si="155"/>
        <v>0</v>
      </c>
      <c r="M195" s="172">
        <f t="shared" si="156"/>
        <v>0</v>
      </c>
      <c r="N195" s="172">
        <v>0</v>
      </c>
      <c r="O195" s="172">
        <f t="shared" si="157"/>
        <v>10022.14</v>
      </c>
      <c r="P195" s="172">
        <f t="shared" si="162"/>
        <v>0</v>
      </c>
      <c r="Q195" s="172">
        <f t="shared" si="158"/>
        <v>-10022.14</v>
      </c>
      <c r="R195" s="172">
        <f t="shared" si="149"/>
        <v>10022.14</v>
      </c>
      <c r="S195" s="172">
        <f t="shared" si="150"/>
        <v>0</v>
      </c>
      <c r="T195" s="172">
        <f t="shared" si="159"/>
        <v>0</v>
      </c>
      <c r="U195" s="172">
        <f t="shared" si="160"/>
        <v>10022.14</v>
      </c>
      <c r="V195" s="182">
        <f t="shared" si="153"/>
        <v>-10022.14</v>
      </c>
      <c r="W195" s="182">
        <f t="shared" si="163"/>
        <v>39977.86</v>
      </c>
    </row>
    <row r="196" spans="2:23" x14ac:dyDescent="0.25">
      <c r="B196" s="165">
        <v>211174</v>
      </c>
      <c r="C196" s="100" t="s">
        <v>148</v>
      </c>
      <c r="D196" s="106" t="s">
        <v>191</v>
      </c>
      <c r="E196" s="172">
        <v>0</v>
      </c>
      <c r="F196" s="172">
        <v>0</v>
      </c>
      <c r="G196" s="172">
        <v>0</v>
      </c>
      <c r="H196" s="172">
        <v>0</v>
      </c>
      <c r="I196" s="172">
        <v>0</v>
      </c>
      <c r="J196" s="172">
        <v>0</v>
      </c>
      <c r="K196" s="172">
        <f t="shared" si="164"/>
        <v>0</v>
      </c>
      <c r="L196" s="172">
        <f t="shared" si="155"/>
        <v>0</v>
      </c>
      <c r="M196" s="172">
        <f t="shared" si="156"/>
        <v>0</v>
      </c>
      <c r="N196" s="172">
        <v>0</v>
      </c>
      <c r="O196" s="172">
        <f t="shared" si="157"/>
        <v>0</v>
      </c>
      <c r="P196" s="172">
        <f t="shared" si="162"/>
        <v>0</v>
      </c>
      <c r="Q196" s="172">
        <f t="shared" si="158"/>
        <v>0</v>
      </c>
      <c r="R196" s="172">
        <f t="shared" si="149"/>
        <v>0</v>
      </c>
      <c r="S196" s="172">
        <f t="shared" si="150"/>
        <v>0</v>
      </c>
      <c r="T196" s="172">
        <f t="shared" si="159"/>
        <v>0</v>
      </c>
      <c r="U196" s="172">
        <f t="shared" si="160"/>
        <v>0</v>
      </c>
      <c r="V196" s="182">
        <f t="shared" si="153"/>
        <v>0</v>
      </c>
      <c r="W196" s="182">
        <f t="shared" si="163"/>
        <v>0</v>
      </c>
    </row>
    <row r="197" spans="2:23" x14ac:dyDescent="0.25">
      <c r="B197" s="165">
        <v>211175</v>
      </c>
      <c r="C197" s="100" t="s">
        <v>148</v>
      </c>
      <c r="D197" s="106" t="s">
        <v>192</v>
      </c>
      <c r="E197" s="172">
        <v>170522.12999999995</v>
      </c>
      <c r="F197" s="172">
        <v>0</v>
      </c>
      <c r="G197" s="172">
        <v>170522.12999999995</v>
      </c>
      <c r="H197" s="172">
        <v>0</v>
      </c>
      <c r="I197" s="172">
        <v>0</v>
      </c>
      <c r="J197" s="172">
        <v>134440.85999999999</v>
      </c>
      <c r="K197" s="172">
        <f t="shared" si="164"/>
        <v>134440.85999999999</v>
      </c>
      <c r="L197" s="172">
        <f t="shared" si="155"/>
        <v>0</v>
      </c>
      <c r="M197" s="172">
        <f t="shared" si="156"/>
        <v>0</v>
      </c>
      <c r="N197" s="172">
        <v>0</v>
      </c>
      <c r="O197" s="172">
        <f t="shared" si="157"/>
        <v>36081.26999999996</v>
      </c>
      <c r="P197" s="172">
        <f t="shared" si="162"/>
        <v>0</v>
      </c>
      <c r="Q197" s="172">
        <f t="shared" si="158"/>
        <v>-36081.26999999996</v>
      </c>
      <c r="R197" s="172">
        <f t="shared" si="149"/>
        <v>36081.26999999996</v>
      </c>
      <c r="S197" s="172">
        <f t="shared" si="150"/>
        <v>0</v>
      </c>
      <c r="T197" s="172">
        <f t="shared" si="159"/>
        <v>0</v>
      </c>
      <c r="U197" s="172">
        <f t="shared" si="160"/>
        <v>36081.26999999996</v>
      </c>
      <c r="V197" s="182">
        <f t="shared" si="153"/>
        <v>-36081.26999999996</v>
      </c>
      <c r="W197" s="182">
        <f t="shared" si="163"/>
        <v>134440.85999999999</v>
      </c>
    </row>
    <row r="198" spans="2:23" x14ac:dyDescent="0.25">
      <c r="B198" s="165">
        <v>211176</v>
      </c>
      <c r="C198" s="100" t="s">
        <v>148</v>
      </c>
      <c r="D198" s="106" t="s">
        <v>248</v>
      </c>
      <c r="E198" s="172">
        <v>222500.43414444153</v>
      </c>
      <c r="F198" s="172">
        <v>0</v>
      </c>
      <c r="G198" s="172">
        <v>222500.43414444153</v>
      </c>
      <c r="H198" s="172">
        <v>0</v>
      </c>
      <c r="I198" s="172">
        <v>0</v>
      </c>
      <c r="J198" s="172">
        <v>237288.98</v>
      </c>
      <c r="K198" s="172">
        <f>IF(AND(G198&gt;0, J198&gt;0), MIN(J198, G198), 0)+14788.55</f>
        <v>237288.98414444152</v>
      </c>
      <c r="L198" s="172">
        <f t="shared" si="155"/>
        <v>0</v>
      </c>
      <c r="M198" s="172">
        <f t="shared" si="156"/>
        <v>0</v>
      </c>
      <c r="N198" s="172">
        <v>28488.6</v>
      </c>
      <c r="O198" s="172">
        <f t="shared" si="157"/>
        <v>-14788.549999999988</v>
      </c>
      <c r="P198" s="172">
        <f t="shared" si="162"/>
        <v>0</v>
      </c>
      <c r="Q198" s="172">
        <f t="shared" si="158"/>
        <v>43277.149999999987</v>
      </c>
      <c r="R198" s="172">
        <f t="shared" si="149"/>
        <v>-43277.149999999987</v>
      </c>
      <c r="S198" s="172">
        <f t="shared" si="150"/>
        <v>0</v>
      </c>
      <c r="T198" s="172">
        <f t="shared" si="159"/>
        <v>0</v>
      </c>
      <c r="U198" s="172">
        <f t="shared" si="160"/>
        <v>-43277.149999999987</v>
      </c>
      <c r="V198" s="182">
        <f t="shared" si="153"/>
        <v>43277.149999999987</v>
      </c>
      <c r="W198" s="182">
        <f t="shared" si="163"/>
        <v>265777.58</v>
      </c>
    </row>
    <row r="199" spans="2:23" x14ac:dyDescent="0.25">
      <c r="B199" s="165">
        <v>211177</v>
      </c>
      <c r="C199" s="100" t="s">
        <v>148</v>
      </c>
      <c r="D199" s="106" t="s">
        <v>249</v>
      </c>
      <c r="E199" s="172">
        <v>669754.02896895783</v>
      </c>
      <c r="F199" s="172">
        <v>0</v>
      </c>
      <c r="G199" s="172">
        <v>669754.02896895783</v>
      </c>
      <c r="H199" s="172">
        <v>0</v>
      </c>
      <c r="I199" s="172">
        <v>0</v>
      </c>
      <c r="J199" s="172">
        <v>132137.70000000001</v>
      </c>
      <c r="K199" s="172">
        <f>IF(AND(G199&gt;0, J199&gt;0), MIN(J199, G199), 0)</f>
        <v>132137.70000000001</v>
      </c>
      <c r="L199" s="172">
        <f t="shared" si="155"/>
        <v>0</v>
      </c>
      <c r="M199" s="172">
        <f t="shared" si="156"/>
        <v>0</v>
      </c>
      <c r="N199" s="172">
        <v>0</v>
      </c>
      <c r="O199" s="172">
        <f t="shared" si="157"/>
        <v>537616.32896895777</v>
      </c>
      <c r="P199" s="172">
        <f t="shared" si="162"/>
        <v>0</v>
      </c>
      <c r="Q199" s="172">
        <f t="shared" si="158"/>
        <v>-537616.32896895777</v>
      </c>
      <c r="R199" s="172">
        <f t="shared" si="149"/>
        <v>537616.32896895777</v>
      </c>
      <c r="S199" s="172">
        <f t="shared" si="150"/>
        <v>0</v>
      </c>
      <c r="T199" s="172">
        <f t="shared" si="159"/>
        <v>0</v>
      </c>
      <c r="U199" s="172">
        <f t="shared" si="160"/>
        <v>537616.32896895777</v>
      </c>
      <c r="V199" s="182">
        <f t="shared" si="153"/>
        <v>-537616.32896895777</v>
      </c>
      <c r="W199" s="182">
        <f t="shared" si="163"/>
        <v>132137.70000000001</v>
      </c>
    </row>
    <row r="200" spans="2:23" s="139" customFormat="1" x14ac:dyDescent="0.25">
      <c r="B200" s="165">
        <v>211178</v>
      </c>
      <c r="C200" s="100" t="s">
        <v>148</v>
      </c>
      <c r="D200" s="140" t="s">
        <v>250</v>
      </c>
      <c r="E200" s="172">
        <v>453328.3068866008</v>
      </c>
      <c r="F200" s="172">
        <v>0</v>
      </c>
      <c r="G200" s="172">
        <v>453328.3068866008</v>
      </c>
      <c r="H200" s="172">
        <v>0</v>
      </c>
      <c r="I200" s="172">
        <v>0</v>
      </c>
      <c r="J200" s="172">
        <v>375992.87</v>
      </c>
      <c r="K200" s="172">
        <f>IF(AND(G200&gt;0, J200&gt;0), MIN(J200, G200), 0)</f>
        <v>375992.87</v>
      </c>
      <c r="L200" s="172">
        <f t="shared" si="155"/>
        <v>0</v>
      </c>
      <c r="M200" s="172">
        <f t="shared" si="156"/>
        <v>0</v>
      </c>
      <c r="N200" s="172">
        <v>0</v>
      </c>
      <c r="O200" s="172">
        <f t="shared" si="157"/>
        <v>77335.436886600801</v>
      </c>
      <c r="P200" s="172">
        <f t="shared" ref="P200:P210" si="165">IF((N200-O200)&gt;0, MIN((N200-O200), MAX(0, (H200-O200) - (L200-O200))), 0)</f>
        <v>0</v>
      </c>
      <c r="Q200" s="172">
        <f t="shared" si="158"/>
        <v>-77335.436886600801</v>
      </c>
      <c r="R200" s="172">
        <f t="shared" ref="R200:R210" si="166">SUM(S200:U200)</f>
        <v>77335.436886600801</v>
      </c>
      <c r="S200" s="172">
        <f t="shared" ref="S200:S210" si="167">G200-K200-O200</f>
        <v>0</v>
      </c>
      <c r="T200" s="172">
        <f t="shared" si="159"/>
        <v>0</v>
      </c>
      <c r="U200" s="172">
        <f t="shared" si="160"/>
        <v>77335.436886600801</v>
      </c>
      <c r="V200" s="182">
        <f t="shared" ref="V200:V210" si="168">M200+Q200</f>
        <v>-77335.436886600801</v>
      </c>
      <c r="W200" s="182">
        <f t="shared" ref="W200:W210" si="169">J200+N200</f>
        <v>375992.87</v>
      </c>
    </row>
    <row r="201" spans="2:23" s="139" customFormat="1" x14ac:dyDescent="0.25">
      <c r="B201" s="165">
        <v>211179</v>
      </c>
      <c r="C201" s="143" t="s">
        <v>148</v>
      </c>
      <c r="D201" s="138" t="s">
        <v>384</v>
      </c>
      <c r="E201" s="172">
        <v>9600000</v>
      </c>
      <c r="F201" s="172">
        <v>0</v>
      </c>
      <c r="G201" s="172">
        <v>9600000</v>
      </c>
      <c r="H201" s="172">
        <v>0</v>
      </c>
      <c r="I201" s="172">
        <v>0</v>
      </c>
      <c r="J201" s="172">
        <v>9309132.4800000004</v>
      </c>
      <c r="K201" s="172">
        <f>IF(AND(G201&gt;0, J201&gt;0), MIN(J201, G201), 0)</f>
        <v>9309132.4800000004</v>
      </c>
      <c r="L201" s="172">
        <f t="shared" ref="L201" si="170">IF(AND(H201&gt;0, J201&gt;0), MIN(H201, J201 - K201), 0)</f>
        <v>0</v>
      </c>
      <c r="M201" s="172">
        <f t="shared" ref="M201" si="171">IF(J201&lt;0, J201, MAX(0, J201 - K201 - L201))</f>
        <v>0</v>
      </c>
      <c r="N201" s="172">
        <v>0</v>
      </c>
      <c r="O201" s="172">
        <f t="shared" ref="O201:O210" si="172">IF(AND(N201&gt;0,(G201-K201)&gt;0),MIN(N201,G201-K201),G201-K201)</f>
        <v>290867.51999999955</v>
      </c>
      <c r="P201" s="172">
        <f t="shared" si="165"/>
        <v>0</v>
      </c>
      <c r="Q201" s="172">
        <f t="shared" ref="Q201:Q210" si="173">N201-O201-P201</f>
        <v>-290867.51999999955</v>
      </c>
      <c r="R201" s="172">
        <f t="shared" ref="R201" si="174">SUM(S201:U201)</f>
        <v>290867.51999999955</v>
      </c>
      <c r="S201" s="172">
        <f t="shared" si="167"/>
        <v>0</v>
      </c>
      <c r="T201" s="172">
        <f t="shared" ref="T201:T210" si="175">H201-L201-P201</f>
        <v>0</v>
      </c>
      <c r="U201" s="172">
        <f t="shared" ref="U201:U210" si="176">F201-M201-Q201</f>
        <v>290867.51999999955</v>
      </c>
      <c r="V201" s="182">
        <f t="shared" si="168"/>
        <v>-290867.51999999955</v>
      </c>
      <c r="W201" s="182">
        <f t="shared" si="169"/>
        <v>9309132.4800000004</v>
      </c>
    </row>
    <row r="202" spans="2:23" s="139" customFormat="1" x14ac:dyDescent="0.25">
      <c r="B202" s="165">
        <v>211179</v>
      </c>
      <c r="C202" s="143" t="s">
        <v>148</v>
      </c>
      <c r="D202" s="138" t="s">
        <v>385</v>
      </c>
      <c r="E202" s="172">
        <v>6400000</v>
      </c>
      <c r="F202" s="172">
        <v>0</v>
      </c>
      <c r="G202" s="172">
        <v>6400000</v>
      </c>
      <c r="H202" s="172">
        <v>0</v>
      </c>
      <c r="I202" s="172">
        <v>0</v>
      </c>
      <c r="J202" s="172">
        <v>6400000</v>
      </c>
      <c r="K202" s="172">
        <f t="shared" ref="K202" si="177">IF(AND(G202&gt;0, J202&gt;0), MIN(J202, G202), 0)</f>
        <v>6400000</v>
      </c>
      <c r="L202" s="172">
        <f t="shared" ref="L202:L210" si="178">IF(AND(H202&gt;0, J202&gt;0), MIN(H202, J202 - K202), 0)</f>
        <v>0</v>
      </c>
      <c r="M202" s="172">
        <f t="shared" ref="M202:M210" si="179">IF(J202&lt;0, J202, MAX(0, J202 - K202 - L202))</f>
        <v>0</v>
      </c>
      <c r="N202" s="172">
        <v>0</v>
      </c>
      <c r="O202" s="172">
        <f t="shared" si="172"/>
        <v>0</v>
      </c>
      <c r="P202" s="172">
        <f t="shared" si="165"/>
        <v>0</v>
      </c>
      <c r="Q202" s="172">
        <f t="shared" si="173"/>
        <v>0</v>
      </c>
      <c r="R202" s="172">
        <f t="shared" si="166"/>
        <v>0</v>
      </c>
      <c r="S202" s="172">
        <f t="shared" si="167"/>
        <v>0</v>
      </c>
      <c r="T202" s="172">
        <f t="shared" si="175"/>
        <v>0</v>
      </c>
      <c r="U202" s="172">
        <f t="shared" si="176"/>
        <v>0</v>
      </c>
      <c r="V202" s="182">
        <f t="shared" si="168"/>
        <v>0</v>
      </c>
      <c r="W202" s="182">
        <f t="shared" si="169"/>
        <v>6400000</v>
      </c>
    </row>
    <row r="203" spans="2:23" s="139" customFormat="1" x14ac:dyDescent="0.25">
      <c r="B203" s="165">
        <v>211180</v>
      </c>
      <c r="C203" s="143" t="s">
        <v>148</v>
      </c>
      <c r="D203" s="138" t="s">
        <v>364</v>
      </c>
      <c r="E203" s="172">
        <v>0</v>
      </c>
      <c r="F203" s="172">
        <v>0</v>
      </c>
      <c r="G203" s="172">
        <v>0</v>
      </c>
      <c r="H203" s="172">
        <v>0</v>
      </c>
      <c r="I203" s="172">
        <v>0</v>
      </c>
      <c r="J203" s="172">
        <v>486000</v>
      </c>
      <c r="K203" s="172">
        <v>486000</v>
      </c>
      <c r="L203" s="172">
        <f t="shared" si="178"/>
        <v>0</v>
      </c>
      <c r="M203" s="172">
        <f t="shared" si="179"/>
        <v>0</v>
      </c>
      <c r="N203" s="172">
        <v>0</v>
      </c>
      <c r="O203" s="172">
        <f t="shared" si="172"/>
        <v>-486000</v>
      </c>
      <c r="P203" s="172">
        <f t="shared" si="165"/>
        <v>0</v>
      </c>
      <c r="Q203" s="172">
        <f t="shared" si="173"/>
        <v>486000</v>
      </c>
      <c r="R203" s="172">
        <f t="shared" si="166"/>
        <v>-486000</v>
      </c>
      <c r="S203" s="172">
        <f t="shared" si="167"/>
        <v>0</v>
      </c>
      <c r="T203" s="172">
        <f t="shared" si="175"/>
        <v>0</v>
      </c>
      <c r="U203" s="172">
        <f t="shared" si="176"/>
        <v>-486000</v>
      </c>
      <c r="V203" s="182">
        <f t="shared" si="168"/>
        <v>486000</v>
      </c>
      <c r="W203" s="182">
        <f t="shared" si="169"/>
        <v>486000</v>
      </c>
    </row>
    <row r="204" spans="2:23" s="139" customFormat="1" x14ac:dyDescent="0.25">
      <c r="B204" s="165">
        <v>211181</v>
      </c>
      <c r="C204" s="143" t="s">
        <v>148</v>
      </c>
      <c r="D204" s="138" t="s">
        <v>365</v>
      </c>
      <c r="E204" s="172">
        <v>0</v>
      </c>
      <c r="F204" s="172">
        <v>0</v>
      </c>
      <c r="G204" s="172">
        <v>0</v>
      </c>
      <c r="H204" s="172">
        <v>0</v>
      </c>
      <c r="I204" s="172">
        <v>0</v>
      </c>
      <c r="J204" s="172">
        <v>296000</v>
      </c>
      <c r="K204" s="172">
        <v>296000</v>
      </c>
      <c r="L204" s="172">
        <f t="shared" si="178"/>
        <v>0</v>
      </c>
      <c r="M204" s="172">
        <f t="shared" si="179"/>
        <v>0</v>
      </c>
      <c r="N204" s="172">
        <v>1000</v>
      </c>
      <c r="O204" s="172">
        <f t="shared" si="172"/>
        <v>-296000</v>
      </c>
      <c r="P204" s="172">
        <f t="shared" si="165"/>
        <v>0</v>
      </c>
      <c r="Q204" s="172">
        <f t="shared" si="173"/>
        <v>297000</v>
      </c>
      <c r="R204" s="172">
        <f t="shared" si="166"/>
        <v>-297000</v>
      </c>
      <c r="S204" s="172">
        <f t="shared" si="167"/>
        <v>0</v>
      </c>
      <c r="T204" s="172">
        <f t="shared" si="175"/>
        <v>0</v>
      </c>
      <c r="U204" s="172">
        <f t="shared" si="176"/>
        <v>-297000</v>
      </c>
      <c r="V204" s="182">
        <f t="shared" si="168"/>
        <v>297000</v>
      </c>
      <c r="W204" s="182">
        <f t="shared" si="169"/>
        <v>297000</v>
      </c>
    </row>
    <row r="205" spans="2:23" s="139" customFormat="1" x14ac:dyDescent="0.25">
      <c r="B205" s="165">
        <v>211182</v>
      </c>
      <c r="C205" s="143" t="s">
        <v>148</v>
      </c>
      <c r="D205" s="138" t="s">
        <v>368</v>
      </c>
      <c r="E205" s="172">
        <v>0</v>
      </c>
      <c r="F205" s="172">
        <v>0</v>
      </c>
      <c r="G205" s="172">
        <v>0</v>
      </c>
      <c r="H205" s="172">
        <v>0</v>
      </c>
      <c r="I205" s="172">
        <v>0</v>
      </c>
      <c r="J205" s="172">
        <v>774721.34</v>
      </c>
      <c r="K205" s="172">
        <v>774721.34</v>
      </c>
      <c r="L205" s="172">
        <f t="shared" si="178"/>
        <v>0</v>
      </c>
      <c r="M205" s="172">
        <f t="shared" si="179"/>
        <v>0</v>
      </c>
      <c r="N205" s="172">
        <v>997278.66</v>
      </c>
      <c r="O205" s="172">
        <f t="shared" si="172"/>
        <v>-774721.34</v>
      </c>
      <c r="P205" s="172">
        <f t="shared" si="165"/>
        <v>0</v>
      </c>
      <c r="Q205" s="172">
        <f t="shared" si="173"/>
        <v>1772000</v>
      </c>
      <c r="R205" s="172">
        <f t="shared" si="166"/>
        <v>-1772000</v>
      </c>
      <c r="S205" s="172">
        <f t="shared" si="167"/>
        <v>0</v>
      </c>
      <c r="T205" s="172">
        <f t="shared" si="175"/>
        <v>0</v>
      </c>
      <c r="U205" s="172">
        <f t="shared" si="176"/>
        <v>-1772000</v>
      </c>
      <c r="V205" s="182">
        <f t="shared" si="168"/>
        <v>1772000</v>
      </c>
      <c r="W205" s="182">
        <f t="shared" si="169"/>
        <v>1772000</v>
      </c>
    </row>
    <row r="206" spans="2:23" s="139" customFormat="1" x14ac:dyDescent="0.25">
      <c r="B206" s="165">
        <v>211183</v>
      </c>
      <c r="C206" s="143" t="s">
        <v>148</v>
      </c>
      <c r="D206" s="138" t="s">
        <v>371</v>
      </c>
      <c r="E206" s="172">
        <v>0</v>
      </c>
      <c r="F206" s="172">
        <v>0</v>
      </c>
      <c r="G206" s="172">
        <v>0</v>
      </c>
      <c r="H206" s="172">
        <v>0</v>
      </c>
      <c r="I206" s="172">
        <v>0</v>
      </c>
      <c r="J206" s="172">
        <v>606000</v>
      </c>
      <c r="K206" s="172">
        <v>606000</v>
      </c>
      <c r="L206" s="172">
        <f t="shared" si="178"/>
        <v>0</v>
      </c>
      <c r="M206" s="172">
        <f t="shared" si="179"/>
        <v>0</v>
      </c>
      <c r="N206" s="172">
        <v>250000</v>
      </c>
      <c r="O206" s="172">
        <f t="shared" si="172"/>
        <v>-606000</v>
      </c>
      <c r="P206" s="172">
        <f t="shared" si="165"/>
        <v>0</v>
      </c>
      <c r="Q206" s="172">
        <f t="shared" si="173"/>
        <v>856000</v>
      </c>
      <c r="R206" s="172">
        <f t="shared" si="166"/>
        <v>-856000</v>
      </c>
      <c r="S206" s="172">
        <f t="shared" si="167"/>
        <v>0</v>
      </c>
      <c r="T206" s="172">
        <f t="shared" si="175"/>
        <v>0</v>
      </c>
      <c r="U206" s="172">
        <f t="shared" si="176"/>
        <v>-856000</v>
      </c>
      <c r="V206" s="182">
        <f t="shared" si="168"/>
        <v>856000</v>
      </c>
      <c r="W206" s="182">
        <f t="shared" si="169"/>
        <v>856000</v>
      </c>
    </row>
    <row r="207" spans="2:23" s="139" customFormat="1" x14ac:dyDescent="0.25">
      <c r="B207" s="165">
        <v>211184</v>
      </c>
      <c r="C207" s="143" t="s">
        <v>148</v>
      </c>
      <c r="D207" s="138" t="s">
        <v>369</v>
      </c>
      <c r="E207" s="172">
        <v>0</v>
      </c>
      <c r="F207" s="172">
        <v>0</v>
      </c>
      <c r="G207" s="172">
        <v>0</v>
      </c>
      <c r="H207" s="172">
        <v>0</v>
      </c>
      <c r="I207" s="172">
        <v>0</v>
      </c>
      <c r="J207" s="172">
        <v>15000</v>
      </c>
      <c r="K207" s="172">
        <v>15000</v>
      </c>
      <c r="L207" s="172">
        <f t="shared" si="178"/>
        <v>0</v>
      </c>
      <c r="M207" s="172">
        <f t="shared" si="179"/>
        <v>0</v>
      </c>
      <c r="N207" s="172">
        <v>185000</v>
      </c>
      <c r="O207" s="172">
        <f t="shared" si="172"/>
        <v>-15000</v>
      </c>
      <c r="P207" s="172">
        <f t="shared" si="165"/>
        <v>0</v>
      </c>
      <c r="Q207" s="172">
        <f t="shared" si="173"/>
        <v>200000</v>
      </c>
      <c r="R207" s="172">
        <f t="shared" si="166"/>
        <v>-200000</v>
      </c>
      <c r="S207" s="172">
        <f t="shared" si="167"/>
        <v>0</v>
      </c>
      <c r="T207" s="172">
        <f t="shared" si="175"/>
        <v>0</v>
      </c>
      <c r="U207" s="172">
        <f t="shared" si="176"/>
        <v>-200000</v>
      </c>
      <c r="V207" s="182">
        <f t="shared" si="168"/>
        <v>200000</v>
      </c>
      <c r="W207" s="182">
        <f t="shared" si="169"/>
        <v>200000</v>
      </c>
    </row>
    <row r="208" spans="2:23" s="139" customFormat="1" x14ac:dyDescent="0.25">
      <c r="B208" s="165">
        <v>211185</v>
      </c>
      <c r="C208" s="143" t="s">
        <v>148</v>
      </c>
      <c r="D208" s="138" t="s">
        <v>367</v>
      </c>
      <c r="E208" s="172">
        <v>0</v>
      </c>
      <c r="F208" s="172">
        <v>0</v>
      </c>
      <c r="G208" s="172">
        <v>0</v>
      </c>
      <c r="H208" s="172">
        <v>0</v>
      </c>
      <c r="I208" s="172">
        <v>0</v>
      </c>
      <c r="J208" s="172">
        <v>148781.25</v>
      </c>
      <c r="K208" s="172">
        <v>148781.25</v>
      </c>
      <c r="L208" s="172">
        <f t="shared" si="178"/>
        <v>0</v>
      </c>
      <c r="M208" s="172">
        <f t="shared" si="179"/>
        <v>0</v>
      </c>
      <c r="N208" s="172">
        <v>11218.75</v>
      </c>
      <c r="O208" s="172">
        <f t="shared" si="172"/>
        <v>-148781.25</v>
      </c>
      <c r="P208" s="172">
        <f t="shared" si="165"/>
        <v>0</v>
      </c>
      <c r="Q208" s="172">
        <f t="shared" si="173"/>
        <v>160000</v>
      </c>
      <c r="R208" s="172">
        <f t="shared" si="166"/>
        <v>-160000</v>
      </c>
      <c r="S208" s="172">
        <f t="shared" si="167"/>
        <v>0</v>
      </c>
      <c r="T208" s="172">
        <f t="shared" si="175"/>
        <v>0</v>
      </c>
      <c r="U208" s="172">
        <f t="shared" si="176"/>
        <v>-160000</v>
      </c>
      <c r="V208" s="182">
        <f t="shared" si="168"/>
        <v>160000</v>
      </c>
      <c r="W208" s="182">
        <f t="shared" si="169"/>
        <v>160000</v>
      </c>
    </row>
    <row r="209" spans="2:23" s="139" customFormat="1" x14ac:dyDescent="0.25">
      <c r="B209" s="165">
        <v>211186</v>
      </c>
      <c r="C209" s="143" t="s">
        <v>148</v>
      </c>
      <c r="D209" s="138" t="s">
        <v>370</v>
      </c>
      <c r="E209" s="172">
        <v>0</v>
      </c>
      <c r="F209" s="172">
        <v>0</v>
      </c>
      <c r="G209" s="172">
        <v>0</v>
      </c>
      <c r="H209" s="172">
        <v>0</v>
      </c>
      <c r="I209" s="172">
        <v>0</v>
      </c>
      <c r="J209" s="172">
        <v>149410.75</v>
      </c>
      <c r="K209" s="172">
        <v>149410.75</v>
      </c>
      <c r="L209" s="172">
        <f t="shared" si="178"/>
        <v>0</v>
      </c>
      <c r="M209" s="172">
        <f t="shared" si="179"/>
        <v>0</v>
      </c>
      <c r="N209" s="172">
        <v>589.25</v>
      </c>
      <c r="O209" s="172">
        <f t="shared" si="172"/>
        <v>-149410.75</v>
      </c>
      <c r="P209" s="172">
        <f t="shared" si="165"/>
        <v>0</v>
      </c>
      <c r="Q209" s="172">
        <f t="shared" si="173"/>
        <v>150000</v>
      </c>
      <c r="R209" s="172">
        <f t="shared" si="166"/>
        <v>-150000</v>
      </c>
      <c r="S209" s="172">
        <f t="shared" si="167"/>
        <v>0</v>
      </c>
      <c r="T209" s="172">
        <f t="shared" si="175"/>
        <v>0</v>
      </c>
      <c r="U209" s="172">
        <f t="shared" si="176"/>
        <v>-150000</v>
      </c>
      <c r="V209" s="182">
        <f t="shared" si="168"/>
        <v>150000</v>
      </c>
      <c r="W209" s="182">
        <f t="shared" si="169"/>
        <v>150000</v>
      </c>
    </row>
    <row r="210" spans="2:23" s="139" customFormat="1" x14ac:dyDescent="0.25">
      <c r="B210" s="165">
        <v>211187</v>
      </c>
      <c r="C210" s="143" t="s">
        <v>148</v>
      </c>
      <c r="D210" s="138" t="s">
        <v>366</v>
      </c>
      <c r="E210" s="172">
        <v>0</v>
      </c>
      <c r="F210" s="172">
        <v>0</v>
      </c>
      <c r="G210" s="172">
        <v>0</v>
      </c>
      <c r="H210" s="172">
        <v>0</v>
      </c>
      <c r="I210" s="172">
        <v>0</v>
      </c>
      <c r="J210" s="172">
        <v>850000</v>
      </c>
      <c r="K210" s="172">
        <v>850000</v>
      </c>
      <c r="L210" s="172">
        <f t="shared" si="178"/>
        <v>0</v>
      </c>
      <c r="M210" s="172">
        <f t="shared" si="179"/>
        <v>0</v>
      </c>
      <c r="N210" s="172">
        <v>151235.26</v>
      </c>
      <c r="O210" s="172">
        <f t="shared" si="172"/>
        <v>-850000</v>
      </c>
      <c r="P210" s="172">
        <f t="shared" si="165"/>
        <v>0</v>
      </c>
      <c r="Q210" s="172">
        <f t="shared" si="173"/>
        <v>1001235.26</v>
      </c>
      <c r="R210" s="172">
        <f t="shared" si="166"/>
        <v>-1001235.26</v>
      </c>
      <c r="S210" s="172">
        <f t="shared" si="167"/>
        <v>0</v>
      </c>
      <c r="T210" s="172">
        <f t="shared" si="175"/>
        <v>0</v>
      </c>
      <c r="U210" s="172">
        <f t="shared" si="176"/>
        <v>-1001235.26</v>
      </c>
      <c r="V210" s="182">
        <f t="shared" si="168"/>
        <v>1001235.26</v>
      </c>
      <c r="W210" s="182">
        <f t="shared" si="169"/>
        <v>1001235.26</v>
      </c>
    </row>
    <row r="211" spans="2:23" x14ac:dyDescent="0.25">
      <c r="B211" s="165"/>
      <c r="C211" s="143"/>
      <c r="D211" s="138"/>
      <c r="E211" s="173"/>
      <c r="F211" s="173"/>
      <c r="G211" s="173"/>
      <c r="H211" s="173"/>
      <c r="I211" s="173"/>
      <c r="J211" s="176"/>
      <c r="K211" s="176"/>
      <c r="L211" s="176"/>
      <c r="M211" s="176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</row>
    <row r="212" spans="2:23" s="139" customFormat="1" x14ac:dyDescent="0.25">
      <c r="B212" s="162"/>
      <c r="C212" s="104"/>
      <c r="D212" s="101" t="s">
        <v>243</v>
      </c>
      <c r="E212" s="178">
        <f>SUM(E213:E216)</f>
        <v>27100000</v>
      </c>
      <c r="F212" s="178">
        <f>SUM(F213:F216)</f>
        <v>17100000</v>
      </c>
      <c r="G212" s="178">
        <f t="shared" ref="G212:I212" si="180">SUM(G213:G216)</f>
        <v>0</v>
      </c>
      <c r="H212" s="178">
        <f t="shared" si="180"/>
        <v>10000000</v>
      </c>
      <c r="I212" s="178">
        <f t="shared" si="180"/>
        <v>0</v>
      </c>
      <c r="J212" s="178">
        <f>SUM(J213:J216)</f>
        <v>27751522.710000001</v>
      </c>
      <c r="K212" s="178">
        <f t="shared" ref="K212:U212" si="181">SUM(K213:K216)</f>
        <v>0</v>
      </c>
      <c r="L212" s="178">
        <f t="shared" si="181"/>
        <v>10000000</v>
      </c>
      <c r="M212" s="178">
        <f t="shared" si="181"/>
        <v>17751522.710000001</v>
      </c>
      <c r="N212" s="178">
        <f t="shared" si="181"/>
        <v>6335897.0099999998</v>
      </c>
      <c r="O212" s="178">
        <f t="shared" ref="O212" si="182">SUM(O213:O216)</f>
        <v>0</v>
      </c>
      <c r="P212" s="178">
        <f t="shared" si="181"/>
        <v>0</v>
      </c>
      <c r="Q212" s="178">
        <f t="shared" si="181"/>
        <v>6335897.0099999998</v>
      </c>
      <c r="R212" s="178">
        <f t="shared" si="181"/>
        <v>-6987419.7200000025</v>
      </c>
      <c r="S212" s="178">
        <f t="shared" si="181"/>
        <v>0</v>
      </c>
      <c r="T212" s="178">
        <f t="shared" si="181"/>
        <v>0</v>
      </c>
      <c r="U212" s="178">
        <f t="shared" si="181"/>
        <v>-6987419.7200000025</v>
      </c>
      <c r="V212" s="178">
        <f t="shared" ref="V212:W212" si="183">SUM(V213:V216)</f>
        <v>24087419.720000003</v>
      </c>
      <c r="W212" s="178">
        <f t="shared" si="183"/>
        <v>34087419.719999999</v>
      </c>
    </row>
    <row r="213" spans="2:23" x14ac:dyDescent="0.25">
      <c r="B213" s="159" t="s">
        <v>326</v>
      </c>
      <c r="C213" s="100" t="s">
        <v>200</v>
      </c>
      <c r="D213" s="102" t="s">
        <v>146</v>
      </c>
      <c r="E213" s="169">
        <v>3500000</v>
      </c>
      <c r="F213" s="172">
        <v>3500000</v>
      </c>
      <c r="G213" s="169">
        <v>0</v>
      </c>
      <c r="H213" s="169">
        <v>0</v>
      </c>
      <c r="I213" s="169">
        <v>0</v>
      </c>
      <c r="J213" s="172">
        <v>764102.99</v>
      </c>
      <c r="K213" s="172">
        <f>IF(AND(G213&gt;0, J213&gt;0), MIN(J213, G213), 0)</f>
        <v>0</v>
      </c>
      <c r="L213" s="172">
        <f t="shared" ref="L213" si="184">IF(AND(H213&gt;0, J213&gt;0), MIN(H213, J213 - K213), 0)</f>
        <v>0</v>
      </c>
      <c r="M213" s="172">
        <f t="shared" ref="M213" si="185">IF(J213&lt;0, J213, MAX(0, J213 - K213 - L213))</f>
        <v>764102.99</v>
      </c>
      <c r="N213" s="172">
        <v>2735897.01</v>
      </c>
      <c r="O213" s="172">
        <f t="shared" ref="O213:O216" si="186">IF(AND(N213&gt;0,(G213-K213)&gt;0),MIN(N213,G213-K213),G213-K213)</f>
        <v>0</v>
      </c>
      <c r="P213" s="172">
        <f t="shared" ref="P213:P216" si="187">IF((N213-O213)&gt;0, MIN((N213-O213), MAX(0, (H213-O213) - (L213-O213))), 0)</f>
        <v>0</v>
      </c>
      <c r="Q213" s="172">
        <f t="shared" ref="Q213:Q216" si="188">N213-O213-P213</f>
        <v>2735897.01</v>
      </c>
      <c r="R213" s="172">
        <f t="shared" ref="R213:R216" si="189">SUM(S213:U213)</f>
        <v>0</v>
      </c>
      <c r="S213" s="172">
        <f>G213-K213-O213</f>
        <v>0</v>
      </c>
      <c r="T213" s="172">
        <f t="shared" ref="T213:T216" si="190">H213-L213-P213</f>
        <v>0</v>
      </c>
      <c r="U213" s="172">
        <f>F213-M213-Q213</f>
        <v>0</v>
      </c>
      <c r="V213" s="182">
        <f t="shared" ref="V213:V216" si="191">M213+Q213</f>
        <v>3500000</v>
      </c>
      <c r="W213" s="182">
        <f>J213+N213</f>
        <v>3500000</v>
      </c>
    </row>
    <row r="214" spans="2:23" x14ac:dyDescent="0.25">
      <c r="B214" s="159" t="s">
        <v>327</v>
      </c>
      <c r="C214" s="100" t="s">
        <v>200</v>
      </c>
      <c r="D214" s="106" t="s">
        <v>208</v>
      </c>
      <c r="E214" s="172">
        <v>3600000</v>
      </c>
      <c r="F214" s="172">
        <v>3600000</v>
      </c>
      <c r="G214" s="172">
        <v>0</v>
      </c>
      <c r="H214" s="169">
        <v>0</v>
      </c>
      <c r="I214" s="169">
        <v>0</v>
      </c>
      <c r="J214" s="172">
        <v>0</v>
      </c>
      <c r="K214" s="172">
        <f>IF(AND(G214&gt;0, J214&gt;0), MIN(J214, G214), 0)</f>
        <v>0</v>
      </c>
      <c r="L214" s="172">
        <f t="shared" ref="L214:L216" si="192">IF(AND(H214&gt;0, J214&gt;0), MIN(H214, J214 - K214), 0)</f>
        <v>0</v>
      </c>
      <c r="M214" s="172">
        <f t="shared" ref="M214:M216" si="193">IF(J214&lt;0, J214, MAX(0, J214 - K214 - L214))</f>
        <v>0</v>
      </c>
      <c r="N214" s="172">
        <v>3600000</v>
      </c>
      <c r="O214" s="172">
        <f t="shared" si="186"/>
        <v>0</v>
      </c>
      <c r="P214" s="172">
        <f t="shared" si="187"/>
        <v>0</v>
      </c>
      <c r="Q214" s="172">
        <f t="shared" si="188"/>
        <v>3600000</v>
      </c>
      <c r="R214" s="172">
        <f t="shared" si="189"/>
        <v>0</v>
      </c>
      <c r="S214" s="172">
        <f>G214-K214-O214</f>
        <v>0</v>
      </c>
      <c r="T214" s="172">
        <f t="shared" si="190"/>
        <v>0</v>
      </c>
      <c r="U214" s="172">
        <f>F214-M214-Q214</f>
        <v>0</v>
      </c>
      <c r="V214" s="182">
        <f t="shared" si="191"/>
        <v>3600000</v>
      </c>
      <c r="W214" s="182">
        <f>J214+N214</f>
        <v>3600000</v>
      </c>
    </row>
    <row r="215" spans="2:23" s="145" customFormat="1" x14ac:dyDescent="0.25">
      <c r="B215" s="159" t="s">
        <v>328</v>
      </c>
      <c r="C215" s="100" t="s">
        <v>200</v>
      </c>
      <c r="D215" s="106" t="s">
        <v>349</v>
      </c>
      <c r="E215" s="172">
        <v>10000000</v>
      </c>
      <c r="F215" s="172">
        <v>10000000</v>
      </c>
      <c r="G215" s="172">
        <v>0</v>
      </c>
      <c r="H215" s="169">
        <v>0</v>
      </c>
      <c r="I215" s="169">
        <v>0</v>
      </c>
      <c r="J215" s="172">
        <v>16987419.720000003</v>
      </c>
      <c r="K215" s="172">
        <f>IF(AND(G215&gt;0, J215&gt;0), MIN(J215, G215), 0)</f>
        <v>0</v>
      </c>
      <c r="L215" s="172">
        <f t="shared" si="192"/>
        <v>0</v>
      </c>
      <c r="M215" s="172">
        <f t="shared" si="193"/>
        <v>16987419.720000003</v>
      </c>
      <c r="N215" s="172">
        <v>0</v>
      </c>
      <c r="O215" s="172">
        <f t="shared" si="186"/>
        <v>0</v>
      </c>
      <c r="P215" s="172">
        <f t="shared" si="187"/>
        <v>0</v>
      </c>
      <c r="Q215" s="172">
        <f t="shared" si="188"/>
        <v>0</v>
      </c>
      <c r="R215" s="172">
        <f t="shared" si="189"/>
        <v>-6987419.7200000025</v>
      </c>
      <c r="S215" s="172">
        <f>G215-K215-O215</f>
        <v>0</v>
      </c>
      <c r="T215" s="172">
        <f t="shared" si="190"/>
        <v>0</v>
      </c>
      <c r="U215" s="172">
        <f>F215-M215-Q215</f>
        <v>-6987419.7200000025</v>
      </c>
      <c r="V215" s="182">
        <f t="shared" si="191"/>
        <v>16987419.720000003</v>
      </c>
      <c r="W215" s="182">
        <f>J215+N215</f>
        <v>16987419.720000003</v>
      </c>
    </row>
    <row r="216" spans="2:23" x14ac:dyDescent="0.25">
      <c r="B216" s="159" t="s">
        <v>355</v>
      </c>
      <c r="C216" s="144" t="s">
        <v>200</v>
      </c>
      <c r="D216" s="106" t="s">
        <v>350</v>
      </c>
      <c r="E216" s="172">
        <v>10000000</v>
      </c>
      <c r="F216" s="172">
        <v>0</v>
      </c>
      <c r="G216" s="172">
        <v>0</v>
      </c>
      <c r="H216" s="172">
        <v>10000000</v>
      </c>
      <c r="I216" s="169">
        <v>0</v>
      </c>
      <c r="J216" s="172">
        <v>10000000</v>
      </c>
      <c r="K216" s="172">
        <f>IF(AND(G216&gt;0, J216&gt;0), MIN(J216, G216), 0)</f>
        <v>0</v>
      </c>
      <c r="L216" s="172">
        <f t="shared" si="192"/>
        <v>10000000</v>
      </c>
      <c r="M216" s="172">
        <f t="shared" si="193"/>
        <v>0</v>
      </c>
      <c r="N216" s="172">
        <v>0</v>
      </c>
      <c r="O216" s="172">
        <f t="shared" si="186"/>
        <v>0</v>
      </c>
      <c r="P216" s="172">
        <f t="shared" si="187"/>
        <v>0</v>
      </c>
      <c r="Q216" s="172">
        <f t="shared" si="188"/>
        <v>0</v>
      </c>
      <c r="R216" s="172">
        <f t="shared" si="189"/>
        <v>0</v>
      </c>
      <c r="S216" s="172">
        <f>G216-K216-O216</f>
        <v>0</v>
      </c>
      <c r="T216" s="172">
        <f t="shared" si="190"/>
        <v>0</v>
      </c>
      <c r="U216" s="172">
        <f>F216-M216-Q216</f>
        <v>0</v>
      </c>
      <c r="V216" s="182">
        <f t="shared" si="191"/>
        <v>0</v>
      </c>
      <c r="W216" s="182">
        <f>J216+N216</f>
        <v>10000000</v>
      </c>
    </row>
    <row r="217" spans="2:23" x14ac:dyDescent="0.25">
      <c r="C217" s="86"/>
      <c r="D217" s="138"/>
      <c r="E217" s="173"/>
      <c r="F217" s="173"/>
      <c r="G217" s="173"/>
      <c r="H217" s="173"/>
      <c r="I217" s="173"/>
      <c r="J217" s="172"/>
      <c r="K217" s="176"/>
      <c r="L217" s="176"/>
      <c r="M217" s="176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</row>
    <row r="218" spans="2:23" s="139" customFormat="1" x14ac:dyDescent="0.25">
      <c r="B218" s="162"/>
      <c r="C218" s="104"/>
      <c r="D218" s="101" t="s">
        <v>116</v>
      </c>
      <c r="E218" s="178">
        <f t="shared" ref="E218:J218" si="194">SUM(E219:E223)</f>
        <v>179211.51324999999</v>
      </c>
      <c r="F218" s="178">
        <f t="shared" si="194"/>
        <v>7644.51</v>
      </c>
      <c r="G218" s="178">
        <f t="shared" si="194"/>
        <v>0</v>
      </c>
      <c r="H218" s="178">
        <f t="shared" si="194"/>
        <v>171567</v>
      </c>
      <c r="I218" s="178">
        <f t="shared" si="194"/>
        <v>29275097.960000001</v>
      </c>
      <c r="J218" s="178">
        <f t="shared" si="194"/>
        <v>17699633.880000003</v>
      </c>
      <c r="K218" s="178">
        <f t="shared" ref="K218:U218" si="195">SUM(K219:K223)</f>
        <v>0</v>
      </c>
      <c r="L218" s="178">
        <f t="shared" si="195"/>
        <v>171567</v>
      </c>
      <c r="M218" s="178">
        <f t="shared" si="195"/>
        <v>17528066.880000003</v>
      </c>
      <c r="N218" s="178">
        <f t="shared" si="195"/>
        <v>11754675.590000002</v>
      </c>
      <c r="O218" s="178">
        <f t="shared" ref="O218" si="196">SUM(O219:O223)</f>
        <v>0</v>
      </c>
      <c r="P218" s="178">
        <f t="shared" si="195"/>
        <v>0</v>
      </c>
      <c r="Q218" s="178">
        <f t="shared" si="195"/>
        <v>11754675.590000002</v>
      </c>
      <c r="R218" s="178">
        <f t="shared" si="195"/>
        <v>0</v>
      </c>
      <c r="S218" s="178">
        <f t="shared" si="195"/>
        <v>0</v>
      </c>
      <c r="T218" s="178">
        <f t="shared" si="195"/>
        <v>0</v>
      </c>
      <c r="U218" s="178">
        <f t="shared" si="195"/>
        <v>0</v>
      </c>
      <c r="V218" s="178">
        <f t="shared" ref="V218:W218" si="197">SUM(V219:V223)</f>
        <v>29282742.470000003</v>
      </c>
      <c r="W218" s="178">
        <f t="shared" si="197"/>
        <v>29454309.470000003</v>
      </c>
    </row>
    <row r="219" spans="2:23" s="136" customFormat="1" x14ac:dyDescent="0.25">
      <c r="B219" s="165">
        <v>100501</v>
      </c>
      <c r="C219" s="135" t="s">
        <v>244</v>
      </c>
      <c r="D219" s="137" t="s">
        <v>246</v>
      </c>
      <c r="E219" s="172">
        <v>0</v>
      </c>
      <c r="F219" s="172">
        <v>0</v>
      </c>
      <c r="G219" s="172">
        <v>0</v>
      </c>
      <c r="H219" s="172">
        <v>0</v>
      </c>
      <c r="I219" s="172">
        <v>838264.92</v>
      </c>
      <c r="J219" s="172">
        <v>838264.92</v>
      </c>
      <c r="K219" s="172">
        <f>IF(AND(G219&gt;0, J219&gt;0), MIN(J219, G219), 0)</f>
        <v>0</v>
      </c>
      <c r="L219" s="172">
        <f t="shared" ref="L219:L223" si="198">IF(AND(H219&gt;0, J219&gt;0), MIN(H219, J219 - K219), 0)</f>
        <v>0</v>
      </c>
      <c r="M219" s="172">
        <f t="shared" ref="M219:M223" si="199">IF(J219&lt;0, J219, MAX(0, J219 - K219 - L219))</f>
        <v>838264.92</v>
      </c>
      <c r="N219" s="172">
        <v>0</v>
      </c>
      <c r="O219" s="172">
        <f t="shared" ref="O219:O223" si="200">IF(AND(N219&gt;0,(G219-K219)&gt;0),MIN(N219,G219-K219),G219-K219)</f>
        <v>0</v>
      </c>
      <c r="P219" s="172">
        <f t="shared" ref="P219:P223" si="201">IF((N219-O219)&gt;0, MIN((N219-O219), MAX(0, (H219-O219) - (L219-O219))), 0)</f>
        <v>0</v>
      </c>
      <c r="Q219" s="172">
        <f t="shared" ref="Q219:Q223" si="202">N219-O219-P219</f>
        <v>0</v>
      </c>
      <c r="R219" s="172">
        <f t="shared" ref="R219:R223" si="203">SUM(S219:U219)</f>
        <v>0</v>
      </c>
      <c r="S219" s="182">
        <f>G219-K219-O219</f>
        <v>0</v>
      </c>
      <c r="T219" s="182">
        <f t="shared" ref="T219:T223" si="204">H219-L219-P219</f>
        <v>0</v>
      </c>
      <c r="U219" s="182">
        <f>F219+I219-M219-Q219</f>
        <v>0</v>
      </c>
      <c r="V219" s="182">
        <f t="shared" ref="V219:V223" si="205">M219+Q219</f>
        <v>838264.92</v>
      </c>
      <c r="W219" s="182">
        <f>J219+N219</f>
        <v>838264.92</v>
      </c>
    </row>
    <row r="220" spans="2:23" x14ac:dyDescent="0.25">
      <c r="B220" s="165">
        <v>100512</v>
      </c>
      <c r="C220" s="135" t="s">
        <v>244</v>
      </c>
      <c r="D220" s="134" t="s">
        <v>245</v>
      </c>
      <c r="E220" s="172">
        <v>27393</v>
      </c>
      <c r="F220" s="172">
        <v>0</v>
      </c>
      <c r="G220" s="172">
        <v>0</v>
      </c>
      <c r="H220" s="172">
        <v>27393</v>
      </c>
      <c r="I220" s="172">
        <f>I9/1.19*0.19</f>
        <v>4540334.6870588241</v>
      </c>
      <c r="J220" s="172">
        <v>3527345.94</v>
      </c>
      <c r="K220" s="172">
        <f>IF(AND(G220&gt;0, J220&gt;0), MIN(J220, G220), 0)</f>
        <v>0</v>
      </c>
      <c r="L220" s="172">
        <f t="shared" si="198"/>
        <v>27393</v>
      </c>
      <c r="M220" s="172">
        <f t="shared" si="199"/>
        <v>3499952.94</v>
      </c>
      <c r="N220" s="172">
        <f>I220-M220</f>
        <v>1040381.7470588242</v>
      </c>
      <c r="O220" s="172">
        <f t="shared" si="200"/>
        <v>0</v>
      </c>
      <c r="P220" s="172">
        <f t="shared" si="201"/>
        <v>0</v>
      </c>
      <c r="Q220" s="172">
        <f t="shared" si="202"/>
        <v>1040381.7470588242</v>
      </c>
      <c r="R220" s="172">
        <f t="shared" si="203"/>
        <v>0</v>
      </c>
      <c r="S220" s="182">
        <f>G220-K220-O220</f>
        <v>0</v>
      </c>
      <c r="T220" s="182">
        <f t="shared" si="204"/>
        <v>0</v>
      </c>
      <c r="U220" s="182">
        <f t="shared" ref="U220:U223" si="206">F220+I220-M220-Q220</f>
        <v>0</v>
      </c>
      <c r="V220" s="182">
        <f t="shared" si="205"/>
        <v>4540334.6870588241</v>
      </c>
      <c r="W220" s="182">
        <f>J220+N220</f>
        <v>4567727.6870588241</v>
      </c>
    </row>
    <row r="221" spans="2:23" x14ac:dyDescent="0.25">
      <c r="B221" s="165">
        <v>100503</v>
      </c>
      <c r="C221" s="100" t="s">
        <v>48</v>
      </c>
      <c r="D221" s="102" t="s">
        <v>64</v>
      </c>
      <c r="E221" s="172">
        <v>0</v>
      </c>
      <c r="F221" s="172">
        <v>0</v>
      </c>
      <c r="G221" s="172">
        <v>0</v>
      </c>
      <c r="H221" s="172">
        <v>0</v>
      </c>
      <c r="I221" s="172">
        <v>0</v>
      </c>
      <c r="J221" s="172">
        <v>0</v>
      </c>
      <c r="K221" s="172">
        <f>IF(AND(G221&gt;0, J221&gt;0), MIN(J221, G221), 0)</f>
        <v>0</v>
      </c>
      <c r="L221" s="172">
        <f t="shared" si="198"/>
        <v>0</v>
      </c>
      <c r="M221" s="172">
        <f t="shared" si="199"/>
        <v>0</v>
      </c>
      <c r="N221" s="172">
        <v>0</v>
      </c>
      <c r="O221" s="172">
        <f t="shared" si="200"/>
        <v>0</v>
      </c>
      <c r="P221" s="172">
        <f t="shared" si="201"/>
        <v>0</v>
      </c>
      <c r="Q221" s="172">
        <f t="shared" si="202"/>
        <v>0</v>
      </c>
      <c r="R221" s="172">
        <f t="shared" si="203"/>
        <v>0</v>
      </c>
      <c r="S221" s="182">
        <f>G221-K221-O221</f>
        <v>0</v>
      </c>
      <c r="T221" s="182">
        <f t="shared" si="204"/>
        <v>0</v>
      </c>
      <c r="U221" s="182">
        <f t="shared" si="206"/>
        <v>0</v>
      </c>
      <c r="V221" s="182">
        <f t="shared" si="205"/>
        <v>0</v>
      </c>
      <c r="W221" s="182">
        <f>J221+N221</f>
        <v>0</v>
      </c>
    </row>
    <row r="222" spans="2:23" x14ac:dyDescent="0.25">
      <c r="B222" s="165">
        <v>100511</v>
      </c>
      <c r="C222" s="100" t="s">
        <v>141</v>
      </c>
      <c r="D222" s="102" t="s">
        <v>140</v>
      </c>
      <c r="E222" s="172">
        <v>144174</v>
      </c>
      <c r="F222" s="172">
        <v>0</v>
      </c>
      <c r="G222" s="172">
        <v>0</v>
      </c>
      <c r="H222" s="172">
        <v>144174</v>
      </c>
      <c r="I222" s="172">
        <f>I9/1.19</f>
        <v>23896498.352941178</v>
      </c>
      <c r="J222" s="172">
        <v>13330761.220000001</v>
      </c>
      <c r="K222" s="172">
        <f>IF(AND(G222&gt;0, J222&gt;0), MIN(J222, G222), 0)</f>
        <v>0</v>
      </c>
      <c r="L222" s="172">
        <f t="shared" si="198"/>
        <v>144174</v>
      </c>
      <c r="M222" s="172">
        <f t="shared" si="199"/>
        <v>13186587.220000001</v>
      </c>
      <c r="N222" s="172">
        <f>I222-M222</f>
        <v>10709911.132941177</v>
      </c>
      <c r="O222" s="172">
        <f t="shared" si="200"/>
        <v>0</v>
      </c>
      <c r="P222" s="172">
        <f t="shared" si="201"/>
        <v>0</v>
      </c>
      <c r="Q222" s="172">
        <f t="shared" si="202"/>
        <v>10709911.132941177</v>
      </c>
      <c r="R222" s="172">
        <f t="shared" si="203"/>
        <v>0</v>
      </c>
      <c r="S222" s="182">
        <f>G222-K222-O222</f>
        <v>0</v>
      </c>
      <c r="T222" s="182">
        <f t="shared" si="204"/>
        <v>0</v>
      </c>
      <c r="U222" s="182">
        <f t="shared" si="206"/>
        <v>0</v>
      </c>
      <c r="V222" s="182">
        <f t="shared" si="205"/>
        <v>23896498.352941178</v>
      </c>
      <c r="W222" s="182">
        <f>J222+N222</f>
        <v>24040672.352941178</v>
      </c>
    </row>
    <row r="223" spans="2:23" x14ac:dyDescent="0.25">
      <c r="B223" s="165">
        <v>100508</v>
      </c>
      <c r="C223" s="100" t="s">
        <v>46</v>
      </c>
      <c r="D223" s="102" t="s">
        <v>70</v>
      </c>
      <c r="E223" s="172">
        <v>7644.5132500000009</v>
      </c>
      <c r="F223" s="172">
        <v>7644.51</v>
      </c>
      <c r="G223" s="172">
        <v>0</v>
      </c>
      <c r="H223" s="172">
        <v>0</v>
      </c>
      <c r="I223" s="172">
        <v>0</v>
      </c>
      <c r="J223" s="172">
        <v>3261.8</v>
      </c>
      <c r="K223" s="172">
        <f>IF(AND(G223&gt;0, J223&gt;0), MIN(J223, G223), 0)</f>
        <v>0</v>
      </c>
      <c r="L223" s="172">
        <f t="shared" si="198"/>
        <v>0</v>
      </c>
      <c r="M223" s="172">
        <f t="shared" si="199"/>
        <v>3261.8</v>
      </c>
      <c r="N223" s="172">
        <v>4382.71</v>
      </c>
      <c r="O223" s="172">
        <f t="shared" si="200"/>
        <v>0</v>
      </c>
      <c r="P223" s="172">
        <f t="shared" si="201"/>
        <v>0</v>
      </c>
      <c r="Q223" s="172">
        <f t="shared" si="202"/>
        <v>4382.71</v>
      </c>
      <c r="R223" s="172">
        <f t="shared" si="203"/>
        <v>0</v>
      </c>
      <c r="S223" s="182">
        <f>G223-K223-O223</f>
        <v>0</v>
      </c>
      <c r="T223" s="182">
        <f t="shared" si="204"/>
        <v>0</v>
      </c>
      <c r="U223" s="182">
        <f t="shared" si="206"/>
        <v>0</v>
      </c>
      <c r="V223" s="182">
        <f t="shared" si="205"/>
        <v>7644.51</v>
      </c>
      <c r="W223" s="182">
        <f>J223+N223</f>
        <v>7644.51</v>
      </c>
    </row>
    <row r="224" spans="2:23" x14ac:dyDescent="0.25">
      <c r="C224" s="86"/>
      <c r="D224" s="138"/>
      <c r="E224" s="173"/>
      <c r="F224" s="173"/>
      <c r="G224" s="173"/>
      <c r="H224" s="173"/>
      <c r="I224" s="173"/>
      <c r="J224" s="176"/>
      <c r="K224" s="176"/>
      <c r="L224" s="176"/>
      <c r="M224" s="176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</row>
    <row r="225" spans="2:23" s="139" customFormat="1" x14ac:dyDescent="0.25">
      <c r="B225" s="162"/>
      <c r="C225" s="104"/>
      <c r="D225" s="101" t="s">
        <v>12</v>
      </c>
      <c r="E225" s="178">
        <f t="shared" ref="E225:W225" si="207">E28+E37+E46+E53+E66+E86+E102+E212+E218</f>
        <v>284854573.86477041</v>
      </c>
      <c r="F225" s="178">
        <f t="shared" si="207"/>
        <v>169413883.7415204</v>
      </c>
      <c r="G225" s="178">
        <f t="shared" si="207"/>
        <v>59325600.030000001</v>
      </c>
      <c r="H225" s="178">
        <f t="shared" si="207"/>
        <v>56115090.090000004</v>
      </c>
      <c r="I225" s="178">
        <f t="shared" si="207"/>
        <v>29275097.960000001</v>
      </c>
      <c r="J225" s="178">
        <f t="shared" si="207"/>
        <v>194769139.43000001</v>
      </c>
      <c r="K225" s="178">
        <f t="shared" si="207"/>
        <v>52029595.214144439</v>
      </c>
      <c r="L225" s="178">
        <f t="shared" si="207"/>
        <v>38688137.619999997</v>
      </c>
      <c r="M225" s="178">
        <f t="shared" si="207"/>
        <v>104051406.59999999</v>
      </c>
      <c r="N225" s="178">
        <f t="shared" si="207"/>
        <v>115497277.389</v>
      </c>
      <c r="O225" s="178">
        <f t="shared" si="207"/>
        <v>7174872.0958555574</v>
      </c>
      <c r="P225" s="178">
        <f t="shared" si="207"/>
        <v>15522975.469999999</v>
      </c>
      <c r="Q225" s="178">
        <f t="shared" si="207"/>
        <v>92799429.823144451</v>
      </c>
      <c r="R225" s="178">
        <f t="shared" si="207"/>
        <v>3863254.9983759839</v>
      </c>
      <c r="S225" s="178">
        <f t="shared" si="207"/>
        <v>121132.71999999996</v>
      </c>
      <c r="T225" s="178">
        <f t="shared" si="207"/>
        <v>1903977.0000000005</v>
      </c>
      <c r="U225" s="178">
        <f t="shared" si="207"/>
        <v>1838145.2783759832</v>
      </c>
      <c r="V225" s="178">
        <f t="shared" si="207"/>
        <v>196850836.42314443</v>
      </c>
      <c r="W225" s="178">
        <f t="shared" si="207"/>
        <v>310266416.81900001</v>
      </c>
    </row>
    <row r="226" spans="2:23" x14ac:dyDescent="0.25">
      <c r="C226" s="83"/>
      <c r="D226" s="76"/>
      <c r="E226" s="76"/>
      <c r="F226" s="76"/>
      <c r="G226" s="76"/>
      <c r="H226" s="76"/>
      <c r="I226" s="76"/>
      <c r="J226" s="85"/>
      <c r="K226" s="85"/>
      <c r="L226" s="85"/>
      <c r="M226" s="85"/>
      <c r="O226" s="177"/>
      <c r="S226" s="177"/>
      <c r="T226" s="177"/>
      <c r="U226" s="177"/>
      <c r="V226" s="177"/>
    </row>
    <row r="227" spans="2:23" x14ac:dyDescent="0.25">
      <c r="C227" s="91"/>
      <c r="D227" s="109" t="s">
        <v>17</v>
      </c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</row>
    <row r="228" spans="2:23" x14ac:dyDescent="0.25">
      <c r="C228" s="92"/>
      <c r="D228" s="111" t="s">
        <v>13</v>
      </c>
      <c r="E228" s="107">
        <f t="shared" ref="E228:I228" si="208">E23</f>
        <v>284854573.77999997</v>
      </c>
      <c r="F228" s="107">
        <f t="shared" si="208"/>
        <v>169413883.73999998</v>
      </c>
      <c r="G228" s="107">
        <f t="shared" si="208"/>
        <v>59325600</v>
      </c>
      <c r="H228" s="107">
        <f t="shared" si="208"/>
        <v>56115090.039999999</v>
      </c>
      <c r="I228" s="107">
        <f t="shared" si="208"/>
        <v>29275097.960000001</v>
      </c>
      <c r="J228" s="107">
        <f>J23</f>
        <v>309816990.11000001</v>
      </c>
      <c r="K228" s="107">
        <f t="shared" ref="K228:N228" si="209">K23</f>
        <v>59325600</v>
      </c>
      <c r="L228" s="107">
        <f t="shared" si="209"/>
        <v>56115090.039999999</v>
      </c>
      <c r="M228" s="107">
        <f t="shared" si="209"/>
        <v>194376300.06999999</v>
      </c>
      <c r="N228" s="107">
        <f t="shared" si="209"/>
        <v>6985291.7599999998</v>
      </c>
      <c r="O228" s="107">
        <f t="shared" ref="O228:U228" si="210">O23</f>
        <v>0</v>
      </c>
      <c r="P228" s="107">
        <f t="shared" si="210"/>
        <v>0</v>
      </c>
      <c r="Q228" s="107">
        <f t="shared" si="210"/>
        <v>6985291.7599999998</v>
      </c>
      <c r="R228" s="107">
        <f t="shared" si="210"/>
        <v>0</v>
      </c>
      <c r="S228" s="107">
        <f t="shared" si="210"/>
        <v>0</v>
      </c>
      <c r="T228" s="107">
        <f t="shared" si="210"/>
        <v>0</v>
      </c>
      <c r="U228" s="107">
        <f t="shared" si="210"/>
        <v>0</v>
      </c>
      <c r="V228" s="107">
        <f t="shared" ref="V228:W228" si="211">V23</f>
        <v>201361591.83000001</v>
      </c>
      <c r="W228" s="107">
        <f t="shared" si="211"/>
        <v>316802281.87</v>
      </c>
    </row>
    <row r="229" spans="2:23" x14ac:dyDescent="0.25">
      <c r="C229" s="92"/>
      <c r="D229" s="111" t="s">
        <v>14</v>
      </c>
      <c r="E229" s="72">
        <v>0</v>
      </c>
      <c r="F229" s="72">
        <v>0</v>
      </c>
      <c r="G229" s="72">
        <v>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>
        <v>0</v>
      </c>
      <c r="O229" s="72">
        <v>0</v>
      </c>
      <c r="P229" s="72">
        <v>0</v>
      </c>
      <c r="Q229" s="72">
        <v>0</v>
      </c>
      <c r="R229" s="72">
        <v>0</v>
      </c>
      <c r="S229" s="72">
        <v>0</v>
      </c>
      <c r="T229" s="72">
        <v>0</v>
      </c>
      <c r="U229" s="72">
        <v>0</v>
      </c>
      <c r="V229" s="72">
        <v>0</v>
      </c>
      <c r="W229" s="72">
        <v>0</v>
      </c>
    </row>
    <row r="230" spans="2:23" x14ac:dyDescent="0.25">
      <c r="C230" s="93"/>
      <c r="D230" s="112" t="s">
        <v>4</v>
      </c>
      <c r="E230" s="118">
        <f t="shared" ref="E230:I230" si="212">SUM(E228:E229)</f>
        <v>284854573.77999997</v>
      </c>
      <c r="F230" s="118">
        <f t="shared" si="212"/>
        <v>169413883.73999998</v>
      </c>
      <c r="G230" s="118">
        <f t="shared" si="212"/>
        <v>59325600</v>
      </c>
      <c r="H230" s="118">
        <f t="shared" si="212"/>
        <v>56115090.039999999</v>
      </c>
      <c r="I230" s="118">
        <f t="shared" si="212"/>
        <v>29275097.960000001</v>
      </c>
      <c r="J230" s="118">
        <f t="shared" ref="J230:N230" si="213">SUM(J228:J229)</f>
        <v>309816990.11000001</v>
      </c>
      <c r="K230" s="118">
        <f t="shared" si="213"/>
        <v>59325600</v>
      </c>
      <c r="L230" s="118">
        <f t="shared" si="213"/>
        <v>56115090.039999999</v>
      </c>
      <c r="M230" s="118">
        <f t="shared" si="213"/>
        <v>194376300.06999999</v>
      </c>
      <c r="N230" s="118">
        <f t="shared" si="213"/>
        <v>6985291.7599999998</v>
      </c>
      <c r="O230" s="118">
        <f t="shared" ref="O230:U230" si="214">SUM(O228:O229)</f>
        <v>0</v>
      </c>
      <c r="P230" s="118">
        <f t="shared" si="214"/>
        <v>0</v>
      </c>
      <c r="Q230" s="118">
        <f t="shared" si="214"/>
        <v>6985291.7599999998</v>
      </c>
      <c r="R230" s="118">
        <f t="shared" si="214"/>
        <v>0</v>
      </c>
      <c r="S230" s="118">
        <f t="shared" si="214"/>
        <v>0</v>
      </c>
      <c r="T230" s="118">
        <f t="shared" si="214"/>
        <v>0</v>
      </c>
      <c r="U230" s="118">
        <f t="shared" si="214"/>
        <v>0</v>
      </c>
      <c r="V230" s="118">
        <f t="shared" ref="V230:W230" si="215">SUM(V228:V229)</f>
        <v>201361591.83000001</v>
      </c>
      <c r="W230" s="118">
        <f t="shared" si="215"/>
        <v>316802281.87</v>
      </c>
    </row>
    <row r="231" spans="2:23" x14ac:dyDescent="0.25">
      <c r="C231" s="94"/>
      <c r="D231" s="113" t="s">
        <v>15</v>
      </c>
      <c r="E231" s="72">
        <f t="shared" ref="E231:I231" si="216">E28</f>
        <v>9475490.4300723728</v>
      </c>
      <c r="F231" s="72">
        <f t="shared" si="216"/>
        <v>7499702.8000723729</v>
      </c>
      <c r="G231" s="72">
        <f t="shared" si="216"/>
        <v>542871.6100000001</v>
      </c>
      <c r="H231" s="72">
        <f t="shared" si="216"/>
        <v>1432916.02</v>
      </c>
      <c r="I231" s="72">
        <f t="shared" si="216"/>
        <v>0</v>
      </c>
      <c r="J231" s="72">
        <f>J28</f>
        <v>7643102.7399999993</v>
      </c>
      <c r="K231" s="72">
        <f t="shared" ref="K231:N231" si="217">K28</f>
        <v>542871.6100000001</v>
      </c>
      <c r="L231" s="72">
        <f t="shared" si="217"/>
        <v>784040.39999999991</v>
      </c>
      <c r="M231" s="72">
        <f t="shared" si="217"/>
        <v>6316190.7299999995</v>
      </c>
      <c r="N231" s="72">
        <f t="shared" si="217"/>
        <v>2121388.19</v>
      </c>
      <c r="O231" s="72">
        <f t="shared" ref="O231:U231" si="218">O28</f>
        <v>0</v>
      </c>
      <c r="P231" s="72">
        <f t="shared" si="218"/>
        <v>648875.62000000011</v>
      </c>
      <c r="Q231" s="72">
        <f t="shared" si="218"/>
        <v>1472512.5699999996</v>
      </c>
      <c r="R231" s="72">
        <f t="shared" si="218"/>
        <v>-289000.49992762652</v>
      </c>
      <c r="S231" s="72">
        <f t="shared" si="218"/>
        <v>0</v>
      </c>
      <c r="T231" s="72">
        <f t="shared" si="218"/>
        <v>0</v>
      </c>
      <c r="U231" s="72">
        <f t="shared" si="218"/>
        <v>-289000.49992762652</v>
      </c>
      <c r="V231" s="72">
        <f t="shared" ref="V231:W231" si="219">V28</f>
        <v>7788703.2999999998</v>
      </c>
      <c r="W231" s="72">
        <f t="shared" si="219"/>
        <v>9764490.9299999978</v>
      </c>
    </row>
    <row r="232" spans="2:23" x14ac:dyDescent="0.25">
      <c r="C232" s="94"/>
      <c r="D232" s="113" t="s">
        <v>16</v>
      </c>
      <c r="E232" s="72">
        <f t="shared" ref="E232:I232" si="220">E225-E231</f>
        <v>275379083.43469805</v>
      </c>
      <c r="F232" s="72">
        <f t="shared" si="220"/>
        <v>161914180.94144803</v>
      </c>
      <c r="G232" s="72">
        <f t="shared" si="220"/>
        <v>58782728.420000002</v>
      </c>
      <c r="H232" s="72">
        <f t="shared" si="220"/>
        <v>54682174.07</v>
      </c>
      <c r="I232" s="72">
        <f t="shared" si="220"/>
        <v>29275097.960000001</v>
      </c>
      <c r="J232" s="72">
        <f t="shared" ref="J232:N232" si="221">J225-J231</f>
        <v>187126036.69</v>
      </c>
      <c r="K232" s="72">
        <f t="shared" si="221"/>
        <v>51486723.604144439</v>
      </c>
      <c r="L232" s="72">
        <f t="shared" si="221"/>
        <v>37904097.219999999</v>
      </c>
      <c r="M232" s="72">
        <f t="shared" si="221"/>
        <v>97735215.86999999</v>
      </c>
      <c r="N232" s="72">
        <f t="shared" si="221"/>
        <v>113375889.199</v>
      </c>
      <c r="O232" s="72">
        <f t="shared" ref="O232:U232" si="222">O225-O231</f>
        <v>7174872.0958555574</v>
      </c>
      <c r="P232" s="72">
        <f t="shared" si="222"/>
        <v>14874099.849999998</v>
      </c>
      <c r="Q232" s="72">
        <f t="shared" si="222"/>
        <v>91326917.253144458</v>
      </c>
      <c r="R232" s="72">
        <f t="shared" si="222"/>
        <v>4152255.4983036104</v>
      </c>
      <c r="S232" s="72">
        <f t="shared" si="222"/>
        <v>121132.71999999996</v>
      </c>
      <c r="T232" s="72">
        <f t="shared" si="222"/>
        <v>1903977.0000000005</v>
      </c>
      <c r="U232" s="72">
        <f t="shared" si="222"/>
        <v>2127145.7783036097</v>
      </c>
      <c r="V232" s="72">
        <f t="shared" ref="V232:W232" si="223">V225-V231</f>
        <v>189062133.12314442</v>
      </c>
      <c r="W232" s="72">
        <f t="shared" si="223"/>
        <v>300501925.889</v>
      </c>
    </row>
    <row r="233" spans="2:23" x14ac:dyDescent="0.25">
      <c r="C233" s="93"/>
      <c r="D233" s="112" t="s">
        <v>12</v>
      </c>
      <c r="E233" s="116">
        <f t="shared" ref="E233:I233" si="224">SUM(E231:E232)</f>
        <v>284854573.86477041</v>
      </c>
      <c r="F233" s="116">
        <f t="shared" si="224"/>
        <v>169413883.7415204</v>
      </c>
      <c r="G233" s="116">
        <f t="shared" si="224"/>
        <v>59325600.030000001</v>
      </c>
      <c r="H233" s="116">
        <f t="shared" si="224"/>
        <v>56115090.090000004</v>
      </c>
      <c r="I233" s="116">
        <f t="shared" si="224"/>
        <v>29275097.960000001</v>
      </c>
      <c r="J233" s="116">
        <f t="shared" ref="J233:N233" si="225">SUM(J231:J232)</f>
        <v>194769139.43000001</v>
      </c>
      <c r="K233" s="116">
        <f t="shared" si="225"/>
        <v>52029595.214144439</v>
      </c>
      <c r="L233" s="116">
        <f t="shared" si="225"/>
        <v>38688137.619999997</v>
      </c>
      <c r="M233" s="116">
        <f t="shared" si="225"/>
        <v>104051406.59999999</v>
      </c>
      <c r="N233" s="116">
        <f t="shared" si="225"/>
        <v>115497277.389</v>
      </c>
      <c r="O233" s="116">
        <f t="shared" ref="O233:U233" si="226">SUM(O231:O232)</f>
        <v>7174872.0958555574</v>
      </c>
      <c r="P233" s="116">
        <f t="shared" si="226"/>
        <v>15522975.469999999</v>
      </c>
      <c r="Q233" s="116">
        <f t="shared" si="226"/>
        <v>92799429.823144451</v>
      </c>
      <c r="R233" s="116">
        <f t="shared" si="226"/>
        <v>3863254.9983759839</v>
      </c>
      <c r="S233" s="116">
        <f t="shared" si="226"/>
        <v>121132.71999999996</v>
      </c>
      <c r="T233" s="116">
        <f t="shared" si="226"/>
        <v>1903977.0000000005</v>
      </c>
      <c r="U233" s="116">
        <f t="shared" si="226"/>
        <v>1838145.2783759832</v>
      </c>
      <c r="V233" s="116">
        <f t="shared" ref="V233:W233" si="227">SUM(V231:V232)</f>
        <v>196850836.42314443</v>
      </c>
      <c r="W233" s="116">
        <f t="shared" si="227"/>
        <v>310266416.81900001</v>
      </c>
    </row>
    <row r="234" spans="2:23" x14ac:dyDescent="0.25">
      <c r="C234" s="95"/>
      <c r="D234" s="110"/>
      <c r="E234" s="190"/>
      <c r="F234" s="190"/>
      <c r="G234" s="190"/>
      <c r="H234" s="190"/>
      <c r="I234" s="190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</row>
    <row r="235" spans="2:23" x14ac:dyDescent="0.25">
      <c r="C235" s="93"/>
      <c r="D235" s="112" t="s">
        <v>18</v>
      </c>
      <c r="E235" s="116">
        <f t="shared" ref="E235:I235" si="228">E230-E233</f>
        <v>-8.4770441055297852E-2</v>
      </c>
      <c r="F235" s="116">
        <f t="shared" si="228"/>
        <v>-1.5204250812530518E-3</v>
      </c>
      <c r="G235" s="116">
        <f t="shared" si="228"/>
        <v>-3.0000001192092896E-2</v>
      </c>
      <c r="H235" s="116">
        <f t="shared" si="228"/>
        <v>-5.0000004470348358E-2</v>
      </c>
      <c r="I235" s="116">
        <f t="shared" si="228"/>
        <v>0</v>
      </c>
      <c r="J235" s="116">
        <f t="shared" ref="J235:N235" si="229">J230-J233</f>
        <v>115047850.68000001</v>
      </c>
      <c r="K235" s="116">
        <f t="shared" si="229"/>
        <v>7296004.7858555615</v>
      </c>
      <c r="L235" s="116">
        <f t="shared" si="229"/>
        <v>17426952.420000002</v>
      </c>
      <c r="M235" s="116">
        <f t="shared" si="229"/>
        <v>90324893.469999999</v>
      </c>
      <c r="N235" s="116">
        <f t="shared" si="229"/>
        <v>-108511985.62899999</v>
      </c>
      <c r="O235" s="116">
        <f t="shared" ref="O235:U235" si="230">O230-O233</f>
        <v>-7174872.0958555574</v>
      </c>
      <c r="P235" s="116">
        <f t="shared" si="230"/>
        <v>-15522975.469999999</v>
      </c>
      <c r="Q235" s="116">
        <f t="shared" si="230"/>
        <v>-85814138.063144445</v>
      </c>
      <c r="R235" s="116">
        <f t="shared" si="230"/>
        <v>-3863254.9983759839</v>
      </c>
      <c r="S235" s="116">
        <f t="shared" si="230"/>
        <v>-121132.71999999996</v>
      </c>
      <c r="T235" s="116">
        <f t="shared" si="230"/>
        <v>-1903977.0000000005</v>
      </c>
      <c r="U235" s="116">
        <f t="shared" si="230"/>
        <v>-1838145.2783759832</v>
      </c>
      <c r="V235" s="116">
        <f t="shared" ref="V235:W235" si="231">V230-V233</f>
        <v>4510755.4068555832</v>
      </c>
      <c r="W235" s="116">
        <f t="shared" si="231"/>
        <v>6535865.050999999</v>
      </c>
    </row>
    <row r="236" spans="2:23" x14ac:dyDescent="0.25">
      <c r="C236" s="93"/>
      <c r="D236" s="11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</row>
    <row r="237" spans="2:23" x14ac:dyDescent="0.25">
      <c r="C237" s="93"/>
      <c r="D237" s="115" t="s">
        <v>72</v>
      </c>
      <c r="E237" s="72">
        <f>E28+E37-E44+E46+E221+E223</f>
        <v>12504256.386572374</v>
      </c>
      <c r="F237" s="72">
        <f t="shared" ref="F237:W237" si="232">F28+F37-F44+F46+F221+F223</f>
        <v>10226546.703322373</v>
      </c>
      <c r="G237" s="72">
        <f t="shared" si="232"/>
        <v>542871.6100000001</v>
      </c>
      <c r="H237" s="72">
        <f t="shared" si="232"/>
        <v>1734838.07</v>
      </c>
      <c r="I237" s="72">
        <f t="shared" si="232"/>
        <v>0</v>
      </c>
      <c r="J237" s="72">
        <f t="shared" si="232"/>
        <v>9758071.3000000007</v>
      </c>
      <c r="K237" s="72">
        <f t="shared" si="232"/>
        <v>542871.6100000001</v>
      </c>
      <c r="L237" s="72">
        <f t="shared" si="232"/>
        <v>1085962.45</v>
      </c>
      <c r="M237" s="72">
        <f t="shared" si="232"/>
        <v>8129237.2399999993</v>
      </c>
      <c r="N237" s="72">
        <f t="shared" si="232"/>
        <v>2746185.08</v>
      </c>
      <c r="O237" s="72">
        <f t="shared" si="232"/>
        <v>0</v>
      </c>
      <c r="P237" s="72">
        <f t="shared" si="232"/>
        <v>648875.62000000011</v>
      </c>
      <c r="Q237" s="72">
        <f t="shared" si="232"/>
        <v>2097309.4599999995</v>
      </c>
      <c r="R237" s="72">
        <f t="shared" si="232"/>
        <v>3.322373639093712E-3</v>
      </c>
      <c r="S237" s="72">
        <f t="shared" si="232"/>
        <v>0</v>
      </c>
      <c r="T237" s="72">
        <f t="shared" si="232"/>
        <v>0</v>
      </c>
      <c r="U237" s="72">
        <f t="shared" si="232"/>
        <v>3.322373639093712E-3</v>
      </c>
      <c r="V237" s="72">
        <f t="shared" si="232"/>
        <v>10226546.699999999</v>
      </c>
      <c r="W237" s="72">
        <f t="shared" si="232"/>
        <v>12504256.379999997</v>
      </c>
    </row>
    <row r="238" spans="2:23" ht="16.5" thickBot="1" x14ac:dyDescent="0.3">
      <c r="C238" s="96"/>
      <c r="D238" s="114" t="s">
        <v>202</v>
      </c>
      <c r="E238" s="120">
        <f>E53+E44+E219</f>
        <v>2023056.1800000002</v>
      </c>
      <c r="F238" s="120">
        <f t="shared" ref="F238:W238" si="233">F53+F44+F219</f>
        <v>1613000</v>
      </c>
      <c r="G238" s="120">
        <f t="shared" si="233"/>
        <v>0</v>
      </c>
      <c r="H238" s="120">
        <f t="shared" si="233"/>
        <v>410056.18</v>
      </c>
      <c r="I238" s="120">
        <f t="shared" si="233"/>
        <v>838264.92</v>
      </c>
      <c r="J238" s="120">
        <f t="shared" si="233"/>
        <v>1873443.19</v>
      </c>
      <c r="K238" s="120">
        <f t="shared" si="233"/>
        <v>0</v>
      </c>
      <c r="L238" s="120">
        <f t="shared" si="233"/>
        <v>282637.83</v>
      </c>
      <c r="M238" s="120">
        <f t="shared" si="233"/>
        <v>1590805.36</v>
      </c>
      <c r="N238" s="120">
        <f t="shared" si="233"/>
        <v>976758.91999999993</v>
      </c>
      <c r="O238" s="120">
        <f t="shared" si="233"/>
        <v>0</v>
      </c>
      <c r="P238" s="120">
        <f t="shared" si="233"/>
        <v>115756.35</v>
      </c>
      <c r="Q238" s="120">
        <f t="shared" si="233"/>
        <v>861002.57</v>
      </c>
      <c r="R238" s="120">
        <f t="shared" si="233"/>
        <v>11118.989999999991</v>
      </c>
      <c r="S238" s="120">
        <f t="shared" si="233"/>
        <v>0</v>
      </c>
      <c r="T238" s="120">
        <f t="shared" si="233"/>
        <v>11662</v>
      </c>
      <c r="U238" s="120">
        <f t="shared" si="233"/>
        <v>-543.01000000000931</v>
      </c>
      <c r="V238" s="120">
        <f t="shared" si="233"/>
        <v>2451807.9300000002</v>
      </c>
      <c r="W238" s="120">
        <f t="shared" si="233"/>
        <v>2850202.11</v>
      </c>
    </row>
    <row r="239" spans="2:23" ht="16.5" thickTop="1" x14ac:dyDescent="0.25"/>
  </sheetData>
  <sheetProtection algorithmName="SHA-512" hashValue="Oqf3YY7NBcdqqo5UnPtHQnhmOBYa7WCj+Wqg5RYWznuWC6vUDCuVC1iQ6uRrWVwABQ/e6rXRShc5LA8JBVBC/w==" saltValue="4RVSwIsQOTLdp8W7LN7uaw==" spinCount="100000" sheet="1" objects="1" scenarios="1"/>
  <mergeCells count="1">
    <mergeCell ref="D1:D2"/>
  </mergeCells>
  <conditionalFormatting sqref="J87:J96 J98:J99">
    <cfRule type="expression" dxfId="7" priority="52">
      <formula>J87&gt;E87</formula>
    </cfRule>
  </conditionalFormatting>
  <conditionalFormatting sqref="J136:J150 J192:J197 J183:J190 J165:J173 J199:J200 J202">
    <cfRule type="expression" dxfId="6" priority="42">
      <formula>J136&gt;E136</formula>
    </cfRule>
  </conditionalFormatting>
  <conditionalFormatting sqref="N101">
    <cfRule type="expression" dxfId="5" priority="18">
      <formula>(J101+N101)&gt;E101</formula>
    </cfRule>
  </conditionalFormatting>
  <conditionalFormatting sqref="J191">
    <cfRule type="expression" dxfId="4" priority="12">
      <formula>J191&gt;E191</formula>
    </cfRule>
  </conditionalFormatting>
  <conditionalFormatting sqref="J174:J176">
    <cfRule type="expression" dxfId="3" priority="8">
      <formula>J174&gt;E174</formula>
    </cfRule>
  </conditionalFormatting>
  <conditionalFormatting sqref="J151:J164">
    <cfRule type="expression" dxfId="2" priority="6">
      <formula>J151&gt;E151</formula>
    </cfRule>
  </conditionalFormatting>
  <conditionalFormatting sqref="J177 J179:J180 J182">
    <cfRule type="expression" dxfId="1" priority="3">
      <formula>J177&gt;E177</formula>
    </cfRule>
  </conditionalFormatting>
  <conditionalFormatting sqref="J201">
    <cfRule type="expression" dxfId="0" priority="2">
      <formula>J201&gt;E201</formula>
    </cfRule>
  </conditionalFormatting>
  <pageMargins left="0.70866141732283472" right="0.70866141732283472" top="0.78740157480314965" bottom="0.78740157480314965" header="0.31496062992125984" footer="0.31496062992125984"/>
  <pageSetup paperSize="9" scale="58" fitToHeight="0" orientation="landscape" r:id="rId1"/>
  <headerFooter>
    <oddFooter>&amp;Lvorläufiges Ergebnis 2024&amp;C11.02.2025&amp;R&amp;P / &amp;N</oddFooter>
  </headerFooter>
  <rowBreaks count="5" manualBreakCount="5">
    <brk id="36" min="2" max="20" man="1"/>
    <brk id="65" min="2" max="20" man="1"/>
    <brk id="100" min="2" max="20" man="1"/>
    <brk id="131" max="16383" man="1"/>
    <brk id="210" max="16383" man="1"/>
  </rowBreaks>
  <ignoredErrors>
    <ignoredError sqref="E135:H135 J1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I36"/>
  <sheetViews>
    <sheetView zoomScale="75" zoomScaleNormal="75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Z17" sqref="Z17"/>
    </sheetView>
  </sheetViews>
  <sheetFormatPr baseColWidth="10" defaultColWidth="11.5703125" defaultRowHeight="15" x14ac:dyDescent="0.2"/>
  <cols>
    <col min="1" max="1" width="28.5703125" style="1" customWidth="1"/>
    <col min="2" max="2" width="13.7109375" style="1" customWidth="1"/>
    <col min="3" max="5" width="20.85546875" style="1" bestFit="1" customWidth="1"/>
    <col min="6" max="6" width="21.42578125" style="1" bestFit="1" customWidth="1"/>
    <col min="7" max="7" width="20" style="2" bestFit="1" customWidth="1"/>
    <col min="8" max="8" width="16.7109375" style="2" bestFit="1" customWidth="1"/>
    <col min="9" max="9" width="20.5703125" style="1" bestFit="1" customWidth="1"/>
    <col min="10" max="10" width="21.7109375" style="1" customWidth="1"/>
    <col min="11" max="12" width="18.140625" style="1" bestFit="1" customWidth="1"/>
    <col min="13" max="13" width="20.5703125" style="1" bestFit="1" customWidth="1"/>
    <col min="14" max="14" width="17.28515625" style="1" bestFit="1" customWidth="1"/>
    <col min="15" max="16" width="16.140625" style="1" bestFit="1" customWidth="1"/>
    <col min="17" max="17" width="16.28515625" style="1" bestFit="1" customWidth="1"/>
    <col min="18" max="19" width="16" style="1" customWidth="1"/>
    <col min="20" max="21" width="16.7109375" style="1" customWidth="1"/>
    <col min="22" max="22" width="21.42578125" style="1" bestFit="1" customWidth="1"/>
    <col min="23" max="23" width="21.42578125" style="1" customWidth="1"/>
    <col min="24" max="25" width="21.42578125" style="1" bestFit="1" customWidth="1"/>
    <col min="26" max="16384" width="11.5703125" style="1"/>
  </cols>
  <sheetData>
    <row r="1" spans="1:35" ht="24" customHeight="1" thickTop="1" x14ac:dyDescent="0.2">
      <c r="A1" s="43" t="s">
        <v>198</v>
      </c>
      <c r="B1" s="211" t="s">
        <v>197</v>
      </c>
      <c r="C1" s="212"/>
      <c r="D1" s="212"/>
      <c r="E1" s="212"/>
      <c r="F1" s="212"/>
      <c r="G1" s="211" t="s">
        <v>100</v>
      </c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20" t="s">
        <v>99</v>
      </c>
      <c r="S1" s="220"/>
      <c r="T1" s="220"/>
      <c r="U1" s="220"/>
      <c r="V1" s="221"/>
      <c r="W1" s="201"/>
      <c r="X1" s="201"/>
      <c r="Y1" s="207"/>
    </row>
    <row r="2" spans="1:35" s="5" customFormat="1" ht="99.75" hidden="1" customHeight="1" thickTop="1" x14ac:dyDescent="0.25">
      <c r="A2" s="44"/>
      <c r="B2" s="51"/>
      <c r="C2" s="3"/>
      <c r="D2" s="3"/>
      <c r="E2" s="3"/>
      <c r="F2" s="3"/>
      <c r="G2" s="59"/>
      <c r="H2" s="4"/>
      <c r="I2" s="19" t="s">
        <v>76</v>
      </c>
      <c r="J2" s="20" t="s">
        <v>75</v>
      </c>
      <c r="K2" s="21"/>
      <c r="L2" s="21"/>
      <c r="M2" s="19" t="s">
        <v>76</v>
      </c>
      <c r="N2" s="32"/>
      <c r="O2" s="129"/>
      <c r="P2" s="129"/>
      <c r="Q2" s="60"/>
      <c r="R2" s="148"/>
      <c r="S2" s="148"/>
      <c r="T2" s="149"/>
      <c r="U2" s="149"/>
      <c r="V2" s="67"/>
      <c r="W2" s="67"/>
      <c r="X2" s="67"/>
      <c r="Y2" s="67"/>
    </row>
    <row r="3" spans="1:35" s="9" customFormat="1" ht="94.5" x14ac:dyDescent="0.25">
      <c r="A3" s="45"/>
      <c r="B3" s="52" t="s">
        <v>132</v>
      </c>
      <c r="C3" s="7" t="s">
        <v>77</v>
      </c>
      <c r="D3" s="7" t="s">
        <v>158</v>
      </c>
      <c r="E3" s="7" t="s">
        <v>205</v>
      </c>
      <c r="F3" s="7" t="s">
        <v>130</v>
      </c>
      <c r="G3" s="61" t="s">
        <v>210</v>
      </c>
      <c r="H3" s="34" t="s">
        <v>209</v>
      </c>
      <c r="I3" s="6" t="s">
        <v>211</v>
      </c>
      <c r="J3" s="8" t="s">
        <v>214</v>
      </c>
      <c r="K3" s="38" t="s">
        <v>204</v>
      </c>
      <c r="L3" s="122" t="s">
        <v>206</v>
      </c>
      <c r="M3" s="6" t="s">
        <v>213</v>
      </c>
      <c r="N3" s="6" t="s">
        <v>215</v>
      </c>
      <c r="O3" s="130" t="s">
        <v>392</v>
      </c>
      <c r="P3" s="6" t="s">
        <v>389</v>
      </c>
      <c r="Q3" s="146" t="s">
        <v>98</v>
      </c>
      <c r="R3" s="155" t="s">
        <v>357</v>
      </c>
      <c r="S3" s="151" t="s">
        <v>388</v>
      </c>
      <c r="T3" s="6" t="s">
        <v>144</v>
      </c>
      <c r="U3" s="6" t="s">
        <v>127</v>
      </c>
      <c r="V3" s="68" t="s">
        <v>390</v>
      </c>
      <c r="W3" s="68" t="s">
        <v>393</v>
      </c>
      <c r="X3" s="68" t="s">
        <v>391</v>
      </c>
      <c r="Y3" s="68" t="s">
        <v>401</v>
      </c>
    </row>
    <row r="4" spans="1:35" s="11" customFormat="1" ht="33.75" customHeight="1" thickBot="1" x14ac:dyDescent="0.3">
      <c r="A4" s="46"/>
      <c r="B4" s="53"/>
      <c r="C4" s="10"/>
      <c r="D4" s="10"/>
      <c r="E4" s="10"/>
      <c r="F4" s="10"/>
      <c r="G4" s="62">
        <f>Budget!V237</f>
        <v>10226546.699999999</v>
      </c>
      <c r="H4" s="62">
        <f>Budget!V238</f>
        <v>2451807.9300000002</v>
      </c>
      <c r="I4" s="35">
        <f>Budget!V66</f>
        <v>5481102.4290000005</v>
      </c>
      <c r="J4" s="30">
        <f>Budget!V86-Budget!V90-Budget!V98</f>
        <v>56995142.829999998</v>
      </c>
      <c r="K4" s="31">
        <f>Budget!V90</f>
        <v>216165.1399999999</v>
      </c>
      <c r="L4" s="198">
        <f>Budget!V98</f>
        <v>2033927.91</v>
      </c>
      <c r="M4" s="31">
        <f>Budget!V102</f>
        <v>66921890.724144436</v>
      </c>
      <c r="N4" s="30">
        <f>Budget!V213+Budget!V214</f>
        <v>7100000</v>
      </c>
      <c r="O4" s="199">
        <f>Budget!V215</f>
        <v>16987419.720000003</v>
      </c>
      <c r="P4" s="30">
        <f>Budget!V220+Budget!V222</f>
        <v>28436833.040000003</v>
      </c>
      <c r="Q4" s="200">
        <f>SUM(G4:P4)</f>
        <v>196850836.42314443</v>
      </c>
      <c r="R4" s="152">
        <v>214960</v>
      </c>
      <c r="S4" s="152">
        <v>867378.76</v>
      </c>
      <c r="T4" s="152">
        <f>Budget!V7+Budget!V14+Budget!V19+Budget!V21</f>
        <v>3523122.1500000004</v>
      </c>
      <c r="U4" s="152">
        <f>Budget!V9</f>
        <v>28436833.039999999</v>
      </c>
      <c r="V4" s="204">
        <f>V23</f>
        <v>168319297.88975057</v>
      </c>
      <c r="W4" s="204">
        <f>Q4-P4-R4-S4-T4</f>
        <v>163808542.47314444</v>
      </c>
      <c r="X4" s="69">
        <f>V4-W4</f>
        <v>4510755.4166061282</v>
      </c>
      <c r="Y4" s="69">
        <f>Budget!W235-Budget!X23</f>
        <v>2025109.6393740065</v>
      </c>
    </row>
    <row r="5" spans="1:35" ht="30.75" customHeight="1" thickBot="1" x14ac:dyDescent="0.25">
      <c r="A5" s="47" t="s">
        <v>78</v>
      </c>
      <c r="B5" s="54"/>
      <c r="C5" s="24">
        <v>0.25</v>
      </c>
      <c r="D5" s="24">
        <v>0.35</v>
      </c>
      <c r="E5" s="133">
        <f>0.2268+((1-0.2268)*B7)+((1-0.2268)*B9)</f>
        <v>0.37054244188000002</v>
      </c>
      <c r="F5" s="24">
        <v>0.1779</v>
      </c>
      <c r="G5" s="63">
        <f t="shared" ref="G5:G21" si="0">$G$4*0.9*C5</f>
        <v>2300973.0074999998</v>
      </c>
      <c r="H5" s="33">
        <f t="shared" ref="H5:H21" si="1">$H$4*C5</f>
        <v>612951.98250000004</v>
      </c>
      <c r="I5" s="25">
        <f t="shared" ref="I5:I21" si="2">$I$4*C5</f>
        <v>1370275.6072500001</v>
      </c>
      <c r="J5" s="26">
        <f t="shared" ref="J5:J21" si="3">$J$4*C5</f>
        <v>14248785.7075</v>
      </c>
      <c r="K5" s="39">
        <f>K$4*F5</f>
        <v>38455.778405999983</v>
      </c>
      <c r="L5" s="33">
        <f t="shared" ref="L5:L21" si="4">L$4*E5</f>
        <v>753656.6143792849</v>
      </c>
      <c r="M5" s="25">
        <f>$M$4*C5</f>
        <v>16730472.681036109</v>
      </c>
      <c r="N5" s="25">
        <f>$N$4*C5</f>
        <v>1775000</v>
      </c>
      <c r="O5" s="131">
        <f>$O$4*C5</f>
        <v>4246854.9300000006</v>
      </c>
      <c r="P5" s="25">
        <v>0</v>
      </c>
      <c r="Q5" s="64">
        <f>SUM(G5:P5)</f>
        <v>42077426.308571391</v>
      </c>
      <c r="R5" s="63">
        <f t="shared" ref="R5:R21" si="5">$R$4*C5</f>
        <v>53740</v>
      </c>
      <c r="S5" s="63">
        <v>287887.24191787094</v>
      </c>
      <c r="T5" s="63">
        <f>T$4*0.9*$C5</f>
        <v>792702.48375000013</v>
      </c>
      <c r="U5" s="63">
        <v>0</v>
      </c>
      <c r="V5" s="202">
        <v>44562130.941762432</v>
      </c>
      <c r="W5" s="204">
        <f t="shared" ref="W5:W22" si="6">Q5-P5-R5-S5-T5</f>
        <v>40943096.582903519</v>
      </c>
      <c r="X5" s="69">
        <f t="shared" ref="X5:X22" si="7">V5-W5</f>
        <v>3619034.3588589132</v>
      </c>
      <c r="Y5" s="69">
        <f>$Y$4*C5</f>
        <v>506277.40984350163</v>
      </c>
    </row>
    <row r="6" spans="1:35" ht="30.75" customHeight="1" thickBot="1" x14ac:dyDescent="0.25">
      <c r="A6" s="48" t="s">
        <v>79</v>
      </c>
      <c r="B6" s="55">
        <v>0.1304061</v>
      </c>
      <c r="C6" s="27">
        <f>B6*75/100</f>
        <v>9.7804574999999991E-2</v>
      </c>
      <c r="D6" s="27">
        <f>B6*65/100</f>
        <v>8.4763964999999997E-2</v>
      </c>
      <c r="E6" s="37">
        <f>(1-0.2268)*B6</f>
        <v>0.10082999651999999</v>
      </c>
      <c r="F6" s="37">
        <f>B6*(1-F$5)</f>
        <v>0.10720685481</v>
      </c>
      <c r="G6" s="63">
        <f t="shared" si="0"/>
        <v>900182.74834003707</v>
      </c>
      <c r="H6" s="33">
        <f t="shared" si="1"/>
        <v>239798.03257527974</v>
      </c>
      <c r="I6" s="25">
        <f t="shared" si="2"/>
        <v>536076.89359981264</v>
      </c>
      <c r="J6" s="26">
        <f t="shared" si="3"/>
        <v>5574385.7215524465</v>
      </c>
      <c r="K6" s="39">
        <f t="shared" ref="K6:K21" si="8">K$4*F6</f>
        <v>23174.384778963315</v>
      </c>
      <c r="L6" s="33">
        <f t="shared" si="4"/>
        <v>205080.94408723086</v>
      </c>
      <c r="M6" s="25">
        <f t="shared" ref="M6:M21" si="9">$M$4*C6</f>
        <v>6545267.0804713881</v>
      </c>
      <c r="N6" s="25">
        <f t="shared" ref="N6:N21" si="10">$N$4*C6</f>
        <v>694412.48249999993</v>
      </c>
      <c r="O6" s="131">
        <f t="shared" ref="O6:O21" si="11">$O$4*C6</f>
        <v>1661447.366061219</v>
      </c>
      <c r="P6" s="25">
        <v>0</v>
      </c>
      <c r="Q6" s="64">
        <f t="shared" ref="Q6:Q22" si="12">SUM(G6:P6)</f>
        <v>16379825.653966378</v>
      </c>
      <c r="R6" s="63">
        <f t="shared" si="5"/>
        <v>21024.071441999997</v>
      </c>
      <c r="S6" s="153">
        <v>74406.515076300129</v>
      </c>
      <c r="T6" s="153">
        <f t="shared" ref="T6:T21" si="13">T$4*0.9*$C6</f>
        <v>310119.71809845266</v>
      </c>
      <c r="U6" s="153">
        <v>0</v>
      </c>
      <c r="V6" s="202">
        <v>16061011.651081368</v>
      </c>
      <c r="W6" s="204">
        <f t="shared" si="6"/>
        <v>15974275.349349625</v>
      </c>
      <c r="X6" s="69">
        <f t="shared" si="7"/>
        <v>86736.301731742918</v>
      </c>
      <c r="Y6" s="69">
        <f t="shared" ref="Y6:Y22" si="14">$Y$4*C6</f>
        <v>198064.98760737796</v>
      </c>
    </row>
    <row r="7" spans="1:35" ht="30.75" customHeight="1" thickBot="1" x14ac:dyDescent="0.25">
      <c r="A7" s="48" t="s">
        <v>80</v>
      </c>
      <c r="B7" s="55">
        <v>0.1556072</v>
      </c>
      <c r="C7" s="27">
        <f t="shared" ref="C7:C21" si="15">B7*75/100</f>
        <v>0.11670540000000001</v>
      </c>
      <c r="D7" s="27">
        <f t="shared" ref="D7:D21" si="16">B7*65/100</f>
        <v>0.10114468</v>
      </c>
      <c r="E7" s="132">
        <v>0</v>
      </c>
      <c r="F7" s="37">
        <f t="shared" ref="F7:F21" si="17">B7*(1-F$5)</f>
        <v>0.12792467912</v>
      </c>
      <c r="G7" s="63">
        <f t="shared" si="0"/>
        <v>1074143.900917962</v>
      </c>
      <c r="H7" s="33">
        <f t="shared" si="1"/>
        <v>286139.22519382206</v>
      </c>
      <c r="I7" s="25">
        <f t="shared" si="2"/>
        <v>639674.25141741673</v>
      </c>
      <c r="J7" s="26">
        <f t="shared" si="3"/>
        <v>6651640.9420322822</v>
      </c>
      <c r="K7" s="39">
        <f t="shared" si="8"/>
        <v>27652.856171429863</v>
      </c>
      <c r="L7" s="33">
        <f t="shared" si="4"/>
        <v>0</v>
      </c>
      <c r="M7" s="25">
        <f t="shared" si="9"/>
        <v>7810146.0257175667</v>
      </c>
      <c r="N7" s="25">
        <f t="shared" si="10"/>
        <v>828608.34000000008</v>
      </c>
      <c r="O7" s="131">
        <f t="shared" si="11"/>
        <v>1982523.6133904886</v>
      </c>
      <c r="P7" s="25">
        <v>0</v>
      </c>
      <c r="Q7" s="64">
        <f t="shared" si="12"/>
        <v>19300529.154840969</v>
      </c>
      <c r="R7" s="63">
        <f t="shared" si="5"/>
        <v>25086.992784000002</v>
      </c>
      <c r="S7" s="153">
        <v>-21088.169269552454</v>
      </c>
      <c r="T7" s="153">
        <f t="shared" si="13"/>
        <v>370050.64178814914</v>
      </c>
      <c r="U7" s="153">
        <v>0</v>
      </c>
      <c r="V7" s="202">
        <v>18925775.976856146</v>
      </c>
      <c r="W7" s="204">
        <f t="shared" si="6"/>
        <v>18926479.689538375</v>
      </c>
      <c r="X7" s="69">
        <f t="shared" si="7"/>
        <v>-703.71268222853541</v>
      </c>
      <c r="Y7" s="69">
        <f t="shared" si="14"/>
        <v>236341.23050699921</v>
      </c>
    </row>
    <row r="8" spans="1:35" ht="30.75" customHeight="1" thickBot="1" x14ac:dyDescent="0.25">
      <c r="A8" s="48" t="s">
        <v>81</v>
      </c>
      <c r="B8" s="55">
        <v>5.1899500000000001E-2</v>
      </c>
      <c r="C8" s="27">
        <f t="shared" si="15"/>
        <v>3.8924625000000004E-2</v>
      </c>
      <c r="D8" s="27">
        <f t="shared" si="16"/>
        <v>3.3734675000000006E-2</v>
      </c>
      <c r="E8" s="37">
        <f>(1-0.2268)*B8</f>
        <v>4.0128693399999998E-2</v>
      </c>
      <c r="F8" s="37">
        <f t="shared" si="17"/>
        <v>4.2666578950000006E-2</v>
      </c>
      <c r="G8" s="63">
        <f t="shared" si="0"/>
        <v>358258.04580823879</v>
      </c>
      <c r="H8" s="33">
        <f t="shared" si="1"/>
        <v>95435.70424727627</v>
      </c>
      <c r="I8" s="25">
        <f t="shared" si="2"/>
        <v>213349.85663541418</v>
      </c>
      <c r="J8" s="26">
        <f t="shared" si="3"/>
        <v>2218514.561479189</v>
      </c>
      <c r="K8" s="39">
        <f t="shared" si="8"/>
        <v>9223.0270120477999</v>
      </c>
      <c r="L8" s="33">
        <f t="shared" si="4"/>
        <v>81618.869498092783</v>
      </c>
      <c r="M8" s="25">
        <f t="shared" si="9"/>
        <v>2604909.5007283008</v>
      </c>
      <c r="N8" s="25">
        <f t="shared" si="10"/>
        <v>276364.83750000002</v>
      </c>
      <c r="O8" s="131">
        <f t="shared" si="11"/>
        <v>661228.94231860514</v>
      </c>
      <c r="P8" s="25">
        <v>0</v>
      </c>
      <c r="Q8" s="64">
        <f t="shared" si="12"/>
        <v>6518903.3452271651</v>
      </c>
      <c r="R8" s="63">
        <f t="shared" si="5"/>
        <v>8367.2373900000002</v>
      </c>
      <c r="S8" s="153">
        <v>29612.574302830733</v>
      </c>
      <c r="T8" s="153">
        <f t="shared" si="13"/>
        <v>123422.58766614941</v>
      </c>
      <c r="U8" s="153">
        <v>0</v>
      </c>
      <c r="V8" s="202">
        <v>6392020.5787053499</v>
      </c>
      <c r="W8" s="204">
        <f t="shared" si="6"/>
        <v>6357500.9458681848</v>
      </c>
      <c r="X8" s="69">
        <f t="shared" si="7"/>
        <v>34519.632837165147</v>
      </c>
      <c r="Y8" s="69">
        <f t="shared" si="14"/>
        <v>78826.633296518441</v>
      </c>
    </row>
    <row r="9" spans="1:35" ht="30.75" customHeight="1" thickBot="1" x14ac:dyDescent="0.25">
      <c r="A9" s="48" t="s">
        <v>82</v>
      </c>
      <c r="B9" s="55">
        <v>3.0298700000000001E-2</v>
      </c>
      <c r="C9" s="27">
        <f t="shared" si="15"/>
        <v>2.2724025000000002E-2</v>
      </c>
      <c r="D9" s="27">
        <f t="shared" si="16"/>
        <v>1.9694155000000001E-2</v>
      </c>
      <c r="E9" s="132">
        <v>0</v>
      </c>
      <c r="F9" s="37">
        <f t="shared" si="17"/>
        <v>2.4908561270000004E-2</v>
      </c>
      <c r="G9" s="63">
        <f t="shared" si="0"/>
        <v>209149.47258702075</v>
      </c>
      <c r="H9" s="33">
        <f t="shared" si="1"/>
        <v>55714.944696518258</v>
      </c>
      <c r="I9" s="25">
        <f t="shared" si="2"/>
        <v>124552.70862415674</v>
      </c>
      <c r="J9" s="26">
        <f t="shared" si="3"/>
        <v>1295159.0505474908</v>
      </c>
      <c r="K9" s="39">
        <f t="shared" si="8"/>
        <v>5384.362634128126</v>
      </c>
      <c r="L9" s="33">
        <f t="shared" si="4"/>
        <v>0</v>
      </c>
      <c r="M9" s="25">
        <f t="shared" si="9"/>
        <v>1520734.7178627264</v>
      </c>
      <c r="N9" s="25">
        <f t="shared" si="10"/>
        <v>161340.57750000001</v>
      </c>
      <c r="O9" s="131">
        <f t="shared" si="11"/>
        <v>386022.55040277308</v>
      </c>
      <c r="P9" s="25">
        <v>0</v>
      </c>
      <c r="Q9" s="64">
        <f t="shared" si="12"/>
        <v>3758058.3848548145</v>
      </c>
      <c r="R9" s="63">
        <f t="shared" si="5"/>
        <v>4884.7564140000004</v>
      </c>
      <c r="S9" s="153">
        <v>-4106.1305797295645</v>
      </c>
      <c r="T9" s="153">
        <f t="shared" si="13"/>
        <v>72053.564233188386</v>
      </c>
      <c r="U9" s="153">
        <v>0</v>
      </c>
      <c r="V9" s="202">
        <v>3685089.1729821619</v>
      </c>
      <c r="W9" s="204">
        <f t="shared" si="6"/>
        <v>3685226.1947873556</v>
      </c>
      <c r="X9" s="69">
        <f t="shared" si="7"/>
        <v>-137.02180519374087</v>
      </c>
      <c r="Y9" s="69">
        <f t="shared" si="14"/>
        <v>46018.642072875911</v>
      </c>
      <c r="AD9" s="150"/>
      <c r="AE9" s="150"/>
    </row>
    <row r="10" spans="1:35" ht="30.75" customHeight="1" thickBot="1" x14ac:dyDescent="0.25">
      <c r="A10" s="48" t="s">
        <v>83</v>
      </c>
      <c r="B10" s="55">
        <v>9.5379000000000002E-3</v>
      </c>
      <c r="C10" s="27">
        <f t="shared" si="15"/>
        <v>7.1534249999999997E-3</v>
      </c>
      <c r="D10" s="27">
        <f t="shared" si="16"/>
        <v>6.1996350000000002E-3</v>
      </c>
      <c r="E10" s="37">
        <f t="shared" ref="E10:E21" si="18">(1-0.2268)*B10</f>
        <v>7.3747042799999999E-3</v>
      </c>
      <c r="F10" s="37">
        <f t="shared" si="17"/>
        <v>7.8411075900000002E-3</v>
      </c>
      <c r="G10" s="63">
        <f t="shared" si="0"/>
        <v>65839.351344702736</v>
      </c>
      <c r="H10" s="33">
        <f t="shared" si="1"/>
        <v>17538.82414166025</v>
      </c>
      <c r="I10" s="25">
        <f t="shared" si="2"/>
        <v>39208.65514316933</v>
      </c>
      <c r="J10" s="26">
        <f t="shared" si="3"/>
        <v>407710.47959869273</v>
      </c>
      <c r="K10" s="39">
        <f t="shared" si="8"/>
        <v>1694.9741199474117</v>
      </c>
      <c r="L10" s="33">
        <f t="shared" si="4"/>
        <v>14999.616863088453</v>
      </c>
      <c r="M10" s="25">
        <f t="shared" si="9"/>
        <v>478720.72615336289</v>
      </c>
      <c r="N10" s="25">
        <f t="shared" si="10"/>
        <v>50789.317499999997</v>
      </c>
      <c r="O10" s="131">
        <f t="shared" si="11"/>
        <v>121518.23291054102</v>
      </c>
      <c r="P10" s="25">
        <v>0</v>
      </c>
      <c r="Q10" s="64">
        <f t="shared" si="12"/>
        <v>1198020.1777751648</v>
      </c>
      <c r="R10" s="63">
        <f t="shared" si="5"/>
        <v>1537.7002379999999</v>
      </c>
      <c r="S10" s="153">
        <v>5442.0896141590783</v>
      </c>
      <c r="T10" s="153">
        <f t="shared" si="13"/>
        <v>22682.151059277377</v>
      </c>
      <c r="U10" s="153">
        <v>0</v>
      </c>
      <c r="V10" s="202">
        <v>1174702.1285397096</v>
      </c>
      <c r="W10" s="204">
        <f t="shared" si="6"/>
        <v>1168358.2368637286</v>
      </c>
      <c r="X10" s="69">
        <f t="shared" si="7"/>
        <v>6343.8916759809945</v>
      </c>
      <c r="Y10" s="69">
        <f t="shared" si="14"/>
        <v>14486.469922039003</v>
      </c>
      <c r="AI10" s="150"/>
    </row>
    <row r="11" spans="1:35" ht="30.75" customHeight="1" thickBot="1" x14ac:dyDescent="0.25">
      <c r="A11" s="48" t="s">
        <v>84</v>
      </c>
      <c r="B11" s="55">
        <v>2.60343E-2</v>
      </c>
      <c r="C11" s="27">
        <f t="shared" si="15"/>
        <v>1.9525725000000001E-2</v>
      </c>
      <c r="D11" s="27">
        <f t="shared" si="16"/>
        <v>1.6922295E-2</v>
      </c>
      <c r="E11" s="37">
        <f t="shared" si="18"/>
        <v>2.0129720760000001E-2</v>
      </c>
      <c r="F11" s="37">
        <f t="shared" si="17"/>
        <v>2.140279803E-2</v>
      </c>
      <c r="G11" s="63">
        <f t="shared" si="0"/>
        <v>179712.66470747173</v>
      </c>
      <c r="H11" s="33">
        <f t="shared" si="1"/>
        <v>47873.327393999258</v>
      </c>
      <c r="I11" s="25">
        <f t="shared" si="2"/>
        <v>107022.49872548603</v>
      </c>
      <c r="J11" s="26">
        <f t="shared" si="3"/>
        <v>1112871.4852343018</v>
      </c>
      <c r="K11" s="39">
        <f t="shared" si="8"/>
        <v>4626.538832546672</v>
      </c>
      <c r="L11" s="33">
        <f t="shared" si="4"/>
        <v>40942.40087427041</v>
      </c>
      <c r="M11" s="25">
        <f t="shared" si="9"/>
        <v>1306698.4347596951</v>
      </c>
      <c r="N11" s="25">
        <f t="shared" si="10"/>
        <v>138632.64749999999</v>
      </c>
      <c r="O11" s="131">
        <f t="shared" si="11"/>
        <v>331691.68591229705</v>
      </c>
      <c r="P11" s="25">
        <v>0</v>
      </c>
      <c r="Q11" s="64">
        <f t="shared" si="12"/>
        <v>3270071.6839400679</v>
      </c>
      <c r="R11" s="63">
        <f t="shared" si="5"/>
        <v>4197.2498459999997</v>
      </c>
      <c r="S11" s="153">
        <v>14854.535519556142</v>
      </c>
      <c r="T11" s="153">
        <f t="shared" si="13"/>
        <v>61912.362818077891</v>
      </c>
      <c r="U11" s="153">
        <v>0</v>
      </c>
      <c r="V11" s="202">
        <v>3206423.5884577623</v>
      </c>
      <c r="W11" s="204">
        <f t="shared" si="6"/>
        <v>3189107.5357564338</v>
      </c>
      <c r="X11" s="69">
        <f t="shared" si="7"/>
        <v>17316.052701328415</v>
      </c>
      <c r="Y11" s="69">
        <f t="shared" si="14"/>
        <v>39541.733913266027</v>
      </c>
    </row>
    <row r="12" spans="1:35" ht="30.75" customHeight="1" thickBot="1" x14ac:dyDescent="0.25">
      <c r="A12" s="48" t="s">
        <v>85</v>
      </c>
      <c r="B12" s="55">
        <v>7.4370900000000004E-2</v>
      </c>
      <c r="C12" s="27">
        <f t="shared" si="15"/>
        <v>5.5778174999999999E-2</v>
      </c>
      <c r="D12" s="27">
        <f t="shared" si="16"/>
        <v>4.8341084999999999E-2</v>
      </c>
      <c r="E12" s="37">
        <f t="shared" si="18"/>
        <v>5.7503579880000003E-2</v>
      </c>
      <c r="F12" s="37">
        <f t="shared" si="17"/>
        <v>6.1140316890000004E-2</v>
      </c>
      <c r="G12" s="63">
        <f t="shared" si="0"/>
        <v>513376.30033044523</v>
      </c>
      <c r="H12" s="33">
        <f t="shared" si="1"/>
        <v>136757.37178592777</v>
      </c>
      <c r="I12" s="25">
        <f t="shared" si="2"/>
        <v>305725.89047768712</v>
      </c>
      <c r="J12" s="26">
        <f t="shared" si="3"/>
        <v>3179085.0509217349</v>
      </c>
      <c r="K12" s="39">
        <f t="shared" si="8"/>
        <v>13216.405160171209</v>
      </c>
      <c r="L12" s="33">
        <f t="shared" si="4"/>
        <v>116958.13604284645</v>
      </c>
      <c r="M12" s="25">
        <f t="shared" si="9"/>
        <v>3732780.9321422051</v>
      </c>
      <c r="N12" s="25">
        <f t="shared" si="10"/>
        <v>396025.04249999998</v>
      </c>
      <c r="O12" s="131">
        <f t="shared" si="11"/>
        <v>947527.26994061109</v>
      </c>
      <c r="P12" s="25">
        <v>0</v>
      </c>
      <c r="Q12" s="64">
        <f t="shared" si="12"/>
        <v>9341452.3993016295</v>
      </c>
      <c r="R12" s="63">
        <f t="shared" si="5"/>
        <v>11990.076498</v>
      </c>
      <c r="S12" s="153">
        <v>42434.209678312764</v>
      </c>
      <c r="T12" s="153">
        <f t="shared" si="13"/>
        <v>176861.99144616866</v>
      </c>
      <c r="U12" s="153">
        <v>0</v>
      </c>
      <c r="V12" s="202">
        <v>9159632.0348723289</v>
      </c>
      <c r="W12" s="204">
        <f t="shared" si="6"/>
        <v>9110166.1216791477</v>
      </c>
      <c r="X12" s="69">
        <f t="shared" si="7"/>
        <v>49465.913193181157</v>
      </c>
      <c r="Y12" s="69">
        <f t="shared" si="14"/>
        <v>112956.91985919022</v>
      </c>
      <c r="AH12" s="157"/>
    </row>
    <row r="13" spans="1:35" ht="30.75" customHeight="1" thickBot="1" x14ac:dyDescent="0.25">
      <c r="A13" s="48" t="s">
        <v>86</v>
      </c>
      <c r="B13" s="55">
        <v>1.9804499999999999E-2</v>
      </c>
      <c r="C13" s="27">
        <f t="shared" si="15"/>
        <v>1.4853375E-2</v>
      </c>
      <c r="D13" s="27">
        <f t="shared" si="16"/>
        <v>1.2872925E-2</v>
      </c>
      <c r="E13" s="37">
        <f t="shared" si="18"/>
        <v>1.53128394E-2</v>
      </c>
      <c r="F13" s="37">
        <f t="shared" si="17"/>
        <v>1.6281279450000002E-2</v>
      </c>
      <c r="G13" s="63">
        <f t="shared" si="0"/>
        <v>136708.85978110123</v>
      </c>
      <c r="H13" s="33">
        <f t="shared" si="1"/>
        <v>36417.622612263753</v>
      </c>
      <c r="I13" s="25">
        <f t="shared" si="2"/>
        <v>81412.869791347883</v>
      </c>
      <c r="J13" s="26">
        <f t="shared" si="3"/>
        <v>846570.2296325512</v>
      </c>
      <c r="K13" s="39">
        <f t="shared" si="8"/>
        <v>3519.4450516883717</v>
      </c>
      <c r="L13" s="33">
        <f t="shared" si="4"/>
        <v>31145.211437007652</v>
      </c>
      <c r="M13" s="25">
        <f t="shared" si="9"/>
        <v>994015.93863473891</v>
      </c>
      <c r="N13" s="25">
        <f t="shared" si="10"/>
        <v>105458.96250000001</v>
      </c>
      <c r="O13" s="131">
        <f t="shared" si="11"/>
        <v>252320.51538355503</v>
      </c>
      <c r="P13" s="25">
        <v>0</v>
      </c>
      <c r="Q13" s="64">
        <f t="shared" si="12"/>
        <v>2487569.6548242541</v>
      </c>
      <c r="R13" s="63">
        <f t="shared" si="5"/>
        <v>3192.8814900000002</v>
      </c>
      <c r="S13" s="153">
        <v>11299.962789938087</v>
      </c>
      <c r="T13" s="153">
        <f t="shared" si="13"/>
        <v>47097.229018280632</v>
      </c>
      <c r="U13" s="153">
        <v>0</v>
      </c>
      <c r="V13" s="202">
        <v>2439152.2411551964</v>
      </c>
      <c r="W13" s="204">
        <f t="shared" si="6"/>
        <v>2425979.581526035</v>
      </c>
      <c r="X13" s="69">
        <f t="shared" si="7"/>
        <v>13172.65962916147</v>
      </c>
      <c r="Y13" s="69">
        <f t="shared" si="14"/>
        <v>30079.712889736886</v>
      </c>
      <c r="AH13" s="156"/>
    </row>
    <row r="14" spans="1:35" ht="30.75" customHeight="1" thickBot="1" x14ac:dyDescent="0.25">
      <c r="A14" s="48" t="s">
        <v>87</v>
      </c>
      <c r="B14" s="55">
        <v>9.3953300000000003E-2</v>
      </c>
      <c r="C14" s="27">
        <f t="shared" si="15"/>
        <v>7.0464974999999999E-2</v>
      </c>
      <c r="D14" s="27">
        <f t="shared" si="16"/>
        <v>6.1069644999999999E-2</v>
      </c>
      <c r="E14" s="37">
        <f t="shared" si="18"/>
        <v>7.2644691560000002E-2</v>
      </c>
      <c r="F14" s="37">
        <f t="shared" si="17"/>
        <v>7.7239007930000006E-2</v>
      </c>
      <c r="G14" s="63">
        <f t="shared" si="0"/>
        <v>648552.02179664921</v>
      </c>
      <c r="H14" s="33">
        <f t="shared" si="1"/>
        <v>172766.58449225177</v>
      </c>
      <c r="I14" s="25">
        <f t="shared" si="2"/>
        <v>386225.74563192431</v>
      </c>
      <c r="J14" s="26">
        <f t="shared" si="3"/>
        <v>4016161.3146373793</v>
      </c>
      <c r="K14" s="39">
        <f t="shared" si="8"/>
        <v>16696.380962649553</v>
      </c>
      <c r="L14" s="33">
        <f t="shared" si="4"/>
        <v>147754.06567722544</v>
      </c>
      <c r="M14" s="25">
        <f t="shared" si="9"/>
        <v>4715649.3568295697</v>
      </c>
      <c r="N14" s="25">
        <f t="shared" si="10"/>
        <v>500301.32250000001</v>
      </c>
      <c r="O14" s="131">
        <f t="shared" si="11"/>
        <v>1197018.1058843071</v>
      </c>
      <c r="P14" s="25">
        <v>0</v>
      </c>
      <c r="Q14" s="64">
        <f t="shared" si="12"/>
        <v>11801124.898411956</v>
      </c>
      <c r="R14" s="63">
        <f t="shared" si="5"/>
        <v>15147.151026</v>
      </c>
      <c r="S14" s="153">
        <v>53607.444747848436</v>
      </c>
      <c r="T14" s="153">
        <f t="shared" si="13"/>
        <v>223431.04279952665</v>
      </c>
      <c r="U14" s="153">
        <v>0</v>
      </c>
      <c r="V14" s="202">
        <v>11571429.908492999</v>
      </c>
      <c r="W14" s="204">
        <f t="shared" si="6"/>
        <v>11508939.259838581</v>
      </c>
      <c r="X14" s="69">
        <f t="shared" si="7"/>
        <v>62490.648654418066</v>
      </c>
      <c r="Y14" s="69">
        <f t="shared" si="14"/>
        <v>142699.30011074839</v>
      </c>
    </row>
    <row r="15" spans="1:35" ht="30.75" customHeight="1" thickBot="1" x14ac:dyDescent="0.25">
      <c r="A15" s="48" t="s">
        <v>88</v>
      </c>
      <c r="B15" s="55">
        <v>0.21075920000000001</v>
      </c>
      <c r="C15" s="27">
        <f t="shared" si="15"/>
        <v>0.1580694</v>
      </c>
      <c r="D15" s="27">
        <f t="shared" si="16"/>
        <v>0.13699348</v>
      </c>
      <c r="E15" s="37">
        <f t="shared" si="18"/>
        <v>0.16295901343999999</v>
      </c>
      <c r="F15" s="37">
        <f t="shared" si="17"/>
        <v>0.17326513832000001</v>
      </c>
      <c r="G15" s="63">
        <f t="shared" si="0"/>
        <v>1454853.6908468818</v>
      </c>
      <c r="H15" s="33">
        <f t="shared" si="1"/>
        <v>387555.80841034203</v>
      </c>
      <c r="I15" s="25">
        <f t="shared" si="2"/>
        <v>866394.57229057269</v>
      </c>
      <c r="J15" s="26">
        <f t="shared" si="3"/>
        <v>9009188.0300524011</v>
      </c>
      <c r="K15" s="39">
        <f t="shared" si="8"/>
        <v>37453.882882062149</v>
      </c>
      <c r="L15" s="33">
        <f t="shared" si="4"/>
        <v>331446.88562168111</v>
      </c>
      <c r="M15" s="25">
        <f t="shared" si="9"/>
        <v>10578303.113631077</v>
      </c>
      <c r="N15" s="25">
        <f t="shared" si="10"/>
        <v>1122292.74</v>
      </c>
      <c r="O15" s="131">
        <f t="shared" si="11"/>
        <v>2685191.2426885683</v>
      </c>
      <c r="P15" s="25">
        <v>0</v>
      </c>
      <c r="Q15" s="64">
        <f t="shared" si="12"/>
        <v>26472679.966423586</v>
      </c>
      <c r="R15" s="63">
        <f t="shared" si="5"/>
        <v>33978.598224000001</v>
      </c>
      <c r="S15" s="153">
        <v>120254.02020768449</v>
      </c>
      <c r="T15" s="153">
        <f t="shared" si="13"/>
        <v>501208.0239394891</v>
      </c>
      <c r="U15" s="153">
        <v>0</v>
      </c>
      <c r="V15" s="202">
        <v>25957420.44720494</v>
      </c>
      <c r="W15" s="204">
        <f t="shared" si="6"/>
        <v>25817239.324052412</v>
      </c>
      <c r="X15" s="69">
        <f t="shared" si="7"/>
        <v>140181.12315252796</v>
      </c>
      <c r="Y15" s="69">
        <f t="shared" si="14"/>
        <v>320107.86563006561</v>
      </c>
    </row>
    <row r="16" spans="1:35" ht="30.75" customHeight="1" thickBot="1" x14ac:dyDescent="0.25">
      <c r="A16" s="48" t="s">
        <v>89</v>
      </c>
      <c r="B16" s="55">
        <v>4.81848E-2</v>
      </c>
      <c r="C16" s="27">
        <f t="shared" si="15"/>
        <v>3.61386E-2</v>
      </c>
      <c r="D16" s="27">
        <f t="shared" si="16"/>
        <v>3.132012E-2</v>
      </c>
      <c r="E16" s="37">
        <f t="shared" si="18"/>
        <v>3.725648736E-2</v>
      </c>
      <c r="F16" s="37">
        <f t="shared" si="17"/>
        <v>3.9612724080000002E-2</v>
      </c>
      <c r="G16" s="63">
        <f t="shared" si="0"/>
        <v>332615.772515358</v>
      </c>
      <c r="H16" s="33">
        <f t="shared" si="1"/>
        <v>88604.906059098008</v>
      </c>
      <c r="I16" s="25">
        <f t="shared" si="2"/>
        <v>198079.36824065942</v>
      </c>
      <c r="J16" s="26">
        <f t="shared" si="3"/>
        <v>2059724.668676238</v>
      </c>
      <c r="K16" s="39">
        <f t="shared" si="8"/>
        <v>8562.8900465345669</v>
      </c>
      <c r="L16" s="33">
        <f t="shared" si="4"/>
        <v>75777.009470066216</v>
      </c>
      <c r="M16" s="25">
        <f t="shared" si="9"/>
        <v>2418463.440123566</v>
      </c>
      <c r="N16" s="25">
        <f t="shared" si="10"/>
        <v>256584.06</v>
      </c>
      <c r="O16" s="131">
        <f t="shared" si="11"/>
        <v>613901.5662931921</v>
      </c>
      <c r="P16" s="25">
        <v>0</v>
      </c>
      <c r="Q16" s="64">
        <f t="shared" si="12"/>
        <v>6052313.6814247118</v>
      </c>
      <c r="R16" s="63">
        <f t="shared" si="5"/>
        <v>7768.3534559999998</v>
      </c>
      <c r="S16" s="153">
        <v>27493.062817805912</v>
      </c>
      <c r="T16" s="153">
        <f t="shared" si="13"/>
        <v>114588.63191699101</v>
      </c>
      <c r="U16" s="153">
        <v>0</v>
      </c>
      <c r="V16" s="202">
        <v>5934512.527815409</v>
      </c>
      <c r="W16" s="204">
        <f t="shared" si="6"/>
        <v>5902463.6332339151</v>
      </c>
      <c r="X16" s="69">
        <f t="shared" si="7"/>
        <v>32048.894581493922</v>
      </c>
      <c r="Y16" s="69">
        <f t="shared" si="14"/>
        <v>73184.627213481479</v>
      </c>
    </row>
    <row r="17" spans="1:31" ht="30.75" customHeight="1" thickBot="1" x14ac:dyDescent="0.25">
      <c r="A17" s="48" t="s">
        <v>90</v>
      </c>
      <c r="B17" s="55">
        <v>1.1982700000000001E-2</v>
      </c>
      <c r="C17" s="27">
        <f t="shared" si="15"/>
        <v>8.9870250000000009E-3</v>
      </c>
      <c r="D17" s="27">
        <f t="shared" si="16"/>
        <v>7.7887550000000005E-3</v>
      </c>
      <c r="E17" s="37">
        <f t="shared" si="18"/>
        <v>9.2650236399999999E-3</v>
      </c>
      <c r="F17" s="37">
        <f t="shared" si="17"/>
        <v>9.850977670000002E-3</v>
      </c>
      <c r="G17" s="63">
        <f t="shared" si="0"/>
        <v>82715.607770910749</v>
      </c>
      <c r="H17" s="33">
        <f t="shared" si="1"/>
        <v>22034.459162108255</v>
      </c>
      <c r="I17" s="25">
        <f t="shared" si="2"/>
        <v>49258.804556983734</v>
      </c>
      <c r="J17" s="26">
        <f t="shared" si="3"/>
        <v>512216.7734917808</v>
      </c>
      <c r="K17" s="39">
        <f t="shared" si="8"/>
        <v>2129.4379671724232</v>
      </c>
      <c r="L17" s="33">
        <f t="shared" si="4"/>
        <v>18844.390168205791</v>
      </c>
      <c r="M17" s="25">
        <f t="shared" si="9"/>
        <v>601428.70498515421</v>
      </c>
      <c r="N17" s="25">
        <f t="shared" si="10"/>
        <v>63807.87750000001</v>
      </c>
      <c r="O17" s="131">
        <f t="shared" si="11"/>
        <v>152666.36570913304</v>
      </c>
      <c r="P17" s="25">
        <v>0</v>
      </c>
      <c r="Q17" s="64">
        <f t="shared" si="12"/>
        <v>1505102.421311449</v>
      </c>
      <c r="R17" s="63">
        <f t="shared" si="5"/>
        <v>1931.8508940000002</v>
      </c>
      <c r="S17" s="153">
        <v>6291.6185523627792</v>
      </c>
      <c r="T17" s="153">
        <f t="shared" si="13"/>
        <v>28496.148156093383</v>
      </c>
      <c r="U17" s="153">
        <v>0</v>
      </c>
      <c r="V17" s="202">
        <v>1476352.8919439064</v>
      </c>
      <c r="W17" s="204">
        <f t="shared" si="6"/>
        <v>1468382.8037089929</v>
      </c>
      <c r="X17" s="69">
        <f t="shared" si="7"/>
        <v>7970.0882349135354</v>
      </c>
      <c r="Y17" s="69">
        <f t="shared" si="14"/>
        <v>18199.710956795185</v>
      </c>
      <c r="AE17" s="154"/>
    </row>
    <row r="18" spans="1:31" ht="30.75" customHeight="1" thickBot="1" x14ac:dyDescent="0.25">
      <c r="A18" s="48" t="s">
        <v>91</v>
      </c>
      <c r="B18" s="55">
        <v>4.9820799999999998E-2</v>
      </c>
      <c r="C18" s="27">
        <f t="shared" si="15"/>
        <v>3.7365599999999999E-2</v>
      </c>
      <c r="D18" s="27">
        <f t="shared" si="16"/>
        <v>3.2383519999999999E-2</v>
      </c>
      <c r="E18" s="37">
        <f t="shared" si="18"/>
        <v>3.8521442560000001E-2</v>
      </c>
      <c r="F18" s="37">
        <f t="shared" si="17"/>
        <v>4.0957679680000005E-2</v>
      </c>
      <c r="G18" s="63">
        <f t="shared" si="0"/>
        <v>343908.94803616795</v>
      </c>
      <c r="H18" s="33">
        <f t="shared" si="1"/>
        <v>91613.274389208003</v>
      </c>
      <c r="I18" s="25">
        <f t="shared" si="2"/>
        <v>204804.68092104243</v>
      </c>
      <c r="J18" s="26">
        <f t="shared" si="3"/>
        <v>2129657.7089286479</v>
      </c>
      <c r="K18" s="39">
        <f t="shared" si="8"/>
        <v>8853.6225621023514</v>
      </c>
      <c r="L18" s="33">
        <f t="shared" si="4"/>
        <v>78349.837156245849</v>
      </c>
      <c r="M18" s="25">
        <f t="shared" si="9"/>
        <v>2500576.6000420912</v>
      </c>
      <c r="N18" s="25">
        <f t="shared" si="10"/>
        <v>265295.76</v>
      </c>
      <c r="O18" s="131">
        <f t="shared" si="11"/>
        <v>634745.13028963213</v>
      </c>
      <c r="P18" s="25">
        <v>0</v>
      </c>
      <c r="Q18" s="64">
        <f t="shared" si="12"/>
        <v>6257805.5623251377</v>
      </c>
      <c r="R18" s="63">
        <f t="shared" si="5"/>
        <v>8032.1093759999994</v>
      </c>
      <c r="S18" s="153">
        <v>28426.524845606647</v>
      </c>
      <c r="T18" s="153">
        <f t="shared" si="13"/>
        <v>118479.21570723601</v>
      </c>
      <c r="U18" s="153">
        <v>0</v>
      </c>
      <c r="V18" s="202">
        <v>6136004.7507811319</v>
      </c>
      <c r="W18" s="204">
        <f t="shared" si="6"/>
        <v>6102867.7123962948</v>
      </c>
      <c r="X18" s="69">
        <f t="shared" si="7"/>
        <v>33137.038384837098</v>
      </c>
      <c r="Y18" s="69">
        <f t="shared" si="14"/>
        <v>75669.436740993377</v>
      </c>
    </row>
    <row r="19" spans="1:31" ht="30.75" customHeight="1" thickBot="1" x14ac:dyDescent="0.25">
      <c r="A19" s="48" t="s">
        <v>92</v>
      </c>
      <c r="B19" s="55">
        <v>2.6961200000000001E-2</v>
      </c>
      <c r="C19" s="27">
        <f t="shared" si="15"/>
        <v>2.02209E-2</v>
      </c>
      <c r="D19" s="27">
        <f t="shared" si="16"/>
        <v>1.752478E-2</v>
      </c>
      <c r="E19" s="37">
        <f t="shared" si="18"/>
        <v>2.0846399840000002E-2</v>
      </c>
      <c r="F19" s="37">
        <f t="shared" si="17"/>
        <v>2.2164802520000002E-2</v>
      </c>
      <c r="G19" s="63">
        <f t="shared" si="0"/>
        <v>186110.98034942697</v>
      </c>
      <c r="H19" s="33">
        <f t="shared" si="1"/>
        <v>49577.762971737</v>
      </c>
      <c r="I19" s="25">
        <f t="shared" si="2"/>
        <v>110832.82410656611</v>
      </c>
      <c r="J19" s="26">
        <f t="shared" si="3"/>
        <v>1152493.0836511469</v>
      </c>
      <c r="K19" s="39">
        <f t="shared" si="8"/>
        <v>4791.257639808151</v>
      </c>
      <c r="L19" s="33">
        <f t="shared" si="4"/>
        <v>42400.07445759554</v>
      </c>
      <c r="M19" s="25">
        <f t="shared" si="9"/>
        <v>1353220.8601438522</v>
      </c>
      <c r="N19" s="25">
        <f t="shared" si="10"/>
        <v>143568.39000000001</v>
      </c>
      <c r="O19" s="131">
        <f t="shared" si="11"/>
        <v>343500.91541614803</v>
      </c>
      <c r="P19" s="25">
        <v>0</v>
      </c>
      <c r="Q19" s="64">
        <f t="shared" si="12"/>
        <v>3386496.1487362813</v>
      </c>
      <c r="R19" s="63">
        <f t="shared" si="5"/>
        <v>4346.6846640000003</v>
      </c>
      <c r="S19" s="153">
        <v>14156.19788504485</v>
      </c>
      <c r="T19" s="153">
        <f t="shared" si="13"/>
        <v>64116.630614641508</v>
      </c>
      <c r="U19" s="153">
        <v>0</v>
      </c>
      <c r="V19" s="202">
        <v>3321809.1922417223</v>
      </c>
      <c r="W19" s="204">
        <f t="shared" si="6"/>
        <v>3303876.6355725951</v>
      </c>
      <c r="X19" s="69">
        <f t="shared" si="7"/>
        <v>17932.556669127196</v>
      </c>
      <c r="Y19" s="69">
        <f t="shared" si="14"/>
        <v>40949.539506817848</v>
      </c>
    </row>
    <row r="20" spans="1:31" ht="30.75" customHeight="1" thickBot="1" x14ac:dyDescent="0.25">
      <c r="A20" s="48" t="s">
        <v>93</v>
      </c>
      <c r="B20" s="55">
        <v>3.4057799999999999E-2</v>
      </c>
      <c r="C20" s="27">
        <f t="shared" si="15"/>
        <v>2.5543349999999999E-2</v>
      </c>
      <c r="D20" s="27">
        <f t="shared" si="16"/>
        <v>2.2137569999999999E-2</v>
      </c>
      <c r="E20" s="37">
        <f t="shared" si="18"/>
        <v>2.6333490960000001E-2</v>
      </c>
      <c r="F20" s="37">
        <f t="shared" si="17"/>
        <v>2.7998917380000002E-2</v>
      </c>
      <c r="G20" s="63">
        <f t="shared" si="0"/>
        <v>235098.23548450047</v>
      </c>
      <c r="H20" s="33">
        <f t="shared" si="1"/>
        <v>62627.388088765503</v>
      </c>
      <c r="I20" s="25">
        <f t="shared" si="2"/>
        <v>140005.71772979715</v>
      </c>
      <c r="J20" s="26">
        <f t="shared" si="3"/>
        <v>1455846.8816066803</v>
      </c>
      <c r="K20" s="39">
        <f t="shared" si="8"/>
        <v>6052.3898952961308</v>
      </c>
      <c r="L20" s="33">
        <f t="shared" si="4"/>
        <v>53560.422231276694</v>
      </c>
      <c r="M20" s="25">
        <f t="shared" si="9"/>
        <v>1709409.2774285749</v>
      </c>
      <c r="N20" s="25">
        <f t="shared" si="10"/>
        <v>181357.785</v>
      </c>
      <c r="O20" s="131">
        <f t="shared" si="11"/>
        <v>433915.60750486207</v>
      </c>
      <c r="P20" s="25">
        <v>0</v>
      </c>
      <c r="Q20" s="64">
        <f t="shared" si="12"/>
        <v>4277873.7049697535</v>
      </c>
      <c r="R20" s="63">
        <f t="shared" si="5"/>
        <v>5490.7985159999998</v>
      </c>
      <c r="S20" s="153">
        <v>19432.54281876469</v>
      </c>
      <c r="T20" s="153">
        <f t="shared" si="13"/>
        <v>80993.107953182262</v>
      </c>
      <c r="U20" s="153">
        <v>0</v>
      </c>
      <c r="V20" s="202">
        <v>4194609.9354039915</v>
      </c>
      <c r="W20" s="204">
        <f t="shared" si="6"/>
        <v>4171957.2556818062</v>
      </c>
      <c r="X20" s="69">
        <f t="shared" si="7"/>
        <v>22652.679722185247</v>
      </c>
      <c r="Y20" s="69">
        <f t="shared" si="14"/>
        <v>51728.084306904027</v>
      </c>
    </row>
    <row r="21" spans="1:31" ht="30.75" customHeight="1" thickBot="1" x14ac:dyDescent="0.25">
      <c r="A21" s="48" t="s">
        <v>94</v>
      </c>
      <c r="B21" s="55">
        <v>2.63211E-2</v>
      </c>
      <c r="C21" s="27">
        <f t="shared" si="15"/>
        <v>1.9740825E-2</v>
      </c>
      <c r="D21" s="27">
        <f t="shared" si="16"/>
        <v>1.7108715E-2</v>
      </c>
      <c r="E21" s="37">
        <f t="shared" si="18"/>
        <v>2.0351474519999999E-2</v>
      </c>
      <c r="F21" s="37">
        <f t="shared" si="17"/>
        <v>2.1638576310000001E-2</v>
      </c>
      <c r="G21" s="63">
        <f t="shared" si="0"/>
        <v>181692.42188312474</v>
      </c>
      <c r="H21" s="33">
        <f t="shared" si="1"/>
        <v>48400.711279742252</v>
      </c>
      <c r="I21" s="25">
        <f t="shared" si="2"/>
        <v>108201.48385796393</v>
      </c>
      <c r="J21" s="26">
        <f t="shared" si="3"/>
        <v>1125131.1404570348</v>
      </c>
      <c r="K21" s="39">
        <f t="shared" si="8"/>
        <v>4677.5058774518311</v>
      </c>
      <c r="L21" s="33">
        <f t="shared" si="4"/>
        <v>41393.432035881851</v>
      </c>
      <c r="M21" s="25">
        <f t="shared" si="9"/>
        <v>1321093.3334544585</v>
      </c>
      <c r="N21" s="25">
        <f t="shared" si="10"/>
        <v>140159.85750000001</v>
      </c>
      <c r="O21" s="131">
        <f t="shared" si="11"/>
        <v>335345.67989406904</v>
      </c>
      <c r="P21" s="25">
        <v>0</v>
      </c>
      <c r="Q21" s="64">
        <f t="shared" si="12"/>
        <v>3306095.5662397267</v>
      </c>
      <c r="R21" s="63">
        <f t="shared" si="5"/>
        <v>4243.4877420000003</v>
      </c>
      <c r="S21" s="153">
        <v>15018.168095017318</v>
      </c>
      <c r="T21" s="153">
        <f t="shared" si="13"/>
        <v>62594.404035096384</v>
      </c>
      <c r="U21" s="153">
        <v>0</v>
      </c>
      <c r="V21" s="202">
        <v>3241746.3167968141</v>
      </c>
      <c r="W21" s="204">
        <f t="shared" si="6"/>
        <v>3224239.5063676131</v>
      </c>
      <c r="X21" s="69">
        <f t="shared" si="7"/>
        <v>17506.810429200996</v>
      </c>
      <c r="Y21" s="69">
        <f t="shared" si="14"/>
        <v>39977.334996695376</v>
      </c>
    </row>
    <row r="22" spans="1:31" ht="30.75" customHeight="1" thickBot="1" x14ac:dyDescent="0.25">
      <c r="A22" s="49" t="s">
        <v>95</v>
      </c>
      <c r="B22" s="56"/>
      <c r="C22" s="27"/>
      <c r="D22" s="27"/>
      <c r="E22" s="24"/>
      <c r="F22" s="24"/>
      <c r="G22" s="63">
        <f>G4*0.1</f>
        <v>1022654.6699999999</v>
      </c>
      <c r="H22" s="33"/>
      <c r="I22" s="25"/>
      <c r="J22" s="26"/>
      <c r="K22" s="40"/>
      <c r="L22" s="123"/>
      <c r="M22" s="25"/>
      <c r="N22" s="25"/>
      <c r="O22" s="131"/>
      <c r="P22" s="25"/>
      <c r="Q22" s="64">
        <f t="shared" si="12"/>
        <v>1022654.6699999999</v>
      </c>
      <c r="R22" s="63"/>
      <c r="S22" s="153">
        <v>141956.34600000025</v>
      </c>
      <c r="T22" s="153">
        <f>T4*0.1</f>
        <v>352312.21500000008</v>
      </c>
      <c r="U22" s="153">
        <v>0</v>
      </c>
      <c r="V22" s="202">
        <v>879473.6046572373</v>
      </c>
      <c r="W22" s="204">
        <f t="shared" si="6"/>
        <v>528386.10899999959</v>
      </c>
      <c r="X22" s="69">
        <f t="shared" si="7"/>
        <v>351087.49565723771</v>
      </c>
      <c r="Y22" s="69">
        <f t="shared" si="14"/>
        <v>0</v>
      </c>
    </row>
    <row r="23" spans="1:31" s="5" customFormat="1" ht="27.75" customHeight="1" thickBot="1" x14ac:dyDescent="0.3">
      <c r="A23" s="50" t="s">
        <v>45</v>
      </c>
      <c r="B23" s="57">
        <f>SUM(B5:B21)</f>
        <v>1.0000000000000002</v>
      </c>
      <c r="C23" s="58">
        <f>SUM(C5:C21)</f>
        <v>1.0000000000000002</v>
      </c>
      <c r="D23" s="58">
        <f>SUM(D5:D21)</f>
        <v>1.0000000000000002</v>
      </c>
      <c r="E23" s="58">
        <f>SUM(E5:E21)</f>
        <v>0.99999999999999989</v>
      </c>
      <c r="F23" s="58">
        <f>SUM(F5:F21)</f>
        <v>1</v>
      </c>
      <c r="G23" s="65">
        <f>SUM(G5:G22)</f>
        <v>10226546.700000001</v>
      </c>
      <c r="H23" s="36">
        <f t="shared" ref="H23:O23" si="19">SUM(H5:H21)</f>
        <v>2451807.9300000002</v>
      </c>
      <c r="I23" s="28">
        <f t="shared" si="19"/>
        <v>5481102.4289999995</v>
      </c>
      <c r="J23" s="29">
        <f t="shared" si="19"/>
        <v>56995142.829999991</v>
      </c>
      <c r="K23" s="41">
        <f t="shared" si="19"/>
        <v>216165.1399999999</v>
      </c>
      <c r="L23" s="124">
        <f t="shared" si="19"/>
        <v>2033927.9100000001</v>
      </c>
      <c r="M23" s="125">
        <f t="shared" si="19"/>
        <v>66921890.724144444</v>
      </c>
      <c r="N23" s="125">
        <f t="shared" si="19"/>
        <v>7099999.9999999991</v>
      </c>
      <c r="O23" s="125">
        <f t="shared" si="19"/>
        <v>16987419.720000003</v>
      </c>
      <c r="P23" s="125">
        <f>P4</f>
        <v>28436833.040000003</v>
      </c>
      <c r="Q23" s="126">
        <f>SUM(Q5:Q22)</f>
        <v>168414003.38314441</v>
      </c>
      <c r="R23" s="147">
        <f>SUM(R5:R22)</f>
        <v>214960.00000000006</v>
      </c>
      <c r="S23" s="158">
        <f>SUM(S5:S22)</f>
        <v>867378.75501982123</v>
      </c>
      <c r="T23" s="158">
        <f>SUM(T5:T22)</f>
        <v>3523122.1500000013</v>
      </c>
      <c r="U23" s="158">
        <f>U4</f>
        <v>28436833.039999999</v>
      </c>
      <c r="V23" s="202">
        <f>SUM(V5:V22)</f>
        <v>168319297.88975057</v>
      </c>
      <c r="W23" s="202">
        <f>SUM(W5:W22)</f>
        <v>163808542.47812462</v>
      </c>
      <c r="X23" s="202">
        <f>SUM(X5:X22)</f>
        <v>4510755.4116259925</v>
      </c>
      <c r="Y23" s="202">
        <f>SUM(Y5:Y22)</f>
        <v>2025109.639374007</v>
      </c>
    </row>
    <row r="24" spans="1:31" s="13" customFormat="1" ht="23.25" customHeight="1" thickTop="1" thickBot="1" x14ac:dyDescent="0.3">
      <c r="A24" s="42"/>
      <c r="G24" s="213">
        <f>SUM(G23:H23)</f>
        <v>12678354.630000001</v>
      </c>
      <c r="H24" s="214"/>
      <c r="I24" s="66">
        <f>SUM(I23:I23)</f>
        <v>5481102.4289999995</v>
      </c>
      <c r="J24" s="215">
        <f>SUM(J23:L23)</f>
        <v>59245235.879999995</v>
      </c>
      <c r="K24" s="214"/>
      <c r="L24" s="216"/>
      <c r="M24" s="127">
        <f>SUM(M23:M23)</f>
        <v>66921890.724144444</v>
      </c>
      <c r="N24" s="215">
        <f>N23+O23+P23</f>
        <v>52524252.760000005</v>
      </c>
      <c r="O24" s="214"/>
      <c r="P24" s="216"/>
      <c r="Q24" s="203">
        <f>G24+I24+J24+M24+N24+O24</f>
        <v>196850836.42314446</v>
      </c>
      <c r="R24" s="217">
        <f>R23+S23+T23+U23+V23</f>
        <v>201361591.83477038</v>
      </c>
      <c r="S24" s="218"/>
      <c r="T24" s="218"/>
      <c r="U24" s="218"/>
      <c r="V24" s="219"/>
      <c r="W24" s="206"/>
      <c r="X24" s="205">
        <f>R24-Q24</f>
        <v>4510755.4116259217</v>
      </c>
      <c r="Y24" s="205"/>
    </row>
    <row r="25" spans="1:31" s="13" customFormat="1" ht="23.25" customHeight="1" thickTop="1" x14ac:dyDescent="0.25">
      <c r="C25" s="23"/>
      <c r="D25" s="23"/>
      <c r="E25" s="23"/>
      <c r="F25" s="23"/>
      <c r="G25" s="12"/>
      <c r="H25" s="12"/>
      <c r="I25" s="14"/>
      <c r="J25" s="128"/>
      <c r="K25" s="128"/>
      <c r="L25" s="121"/>
      <c r="M25" s="14"/>
      <c r="N25" s="15"/>
      <c r="O25" s="15"/>
      <c r="P25" s="15"/>
      <c r="Q25" s="16"/>
      <c r="R25" s="16"/>
      <c r="S25" s="16"/>
      <c r="T25" s="23" t="s">
        <v>96</v>
      </c>
      <c r="U25" s="23" t="s">
        <v>96</v>
      </c>
      <c r="V25" s="12">
        <f>V5</f>
        <v>44562130.941762432</v>
      </c>
      <c r="W25" s="12">
        <f>W5</f>
        <v>40943096.582903519</v>
      </c>
      <c r="X25" s="12">
        <f>X5</f>
        <v>3619034.3588589132</v>
      </c>
      <c r="Y25" s="12">
        <f>Y5</f>
        <v>506277.40984350163</v>
      </c>
    </row>
    <row r="26" spans="1:31" ht="15.75" x14ac:dyDescent="0.25">
      <c r="C26" s="23"/>
      <c r="D26" s="23"/>
      <c r="E26" s="23"/>
      <c r="F26" s="23"/>
      <c r="G26" s="12"/>
      <c r="H26" s="12"/>
      <c r="Q26" s="16"/>
      <c r="R26" s="208"/>
      <c r="S26" s="16"/>
      <c r="T26" s="23" t="s">
        <v>97</v>
      </c>
      <c r="U26" s="23" t="s">
        <v>97</v>
      </c>
      <c r="V26" s="12">
        <f>SUM(V6:V21)</f>
        <v>122877693.34333092</v>
      </c>
      <c r="W26" s="12">
        <f>SUM(W6:W21)</f>
        <v>122337059.78622112</v>
      </c>
      <c r="X26" s="12">
        <f>SUM(X6:X21)</f>
        <v>540633.55710984184</v>
      </c>
      <c r="Y26" s="12">
        <f>SUM(Y6:Y21)</f>
        <v>1518832.2295305049</v>
      </c>
    </row>
    <row r="27" spans="1:31" x14ac:dyDescent="0.2">
      <c r="A27" s="17"/>
      <c r="C27" s="23"/>
      <c r="D27" s="23"/>
      <c r="E27" s="23"/>
      <c r="F27" s="23"/>
      <c r="G27" s="12"/>
      <c r="H27" s="12"/>
      <c r="T27" s="23" t="s">
        <v>101</v>
      </c>
      <c r="U27" s="23" t="s">
        <v>101</v>
      </c>
      <c r="V27" s="12">
        <f>V22</f>
        <v>879473.6046572373</v>
      </c>
      <c r="W27" s="12">
        <f>W22</f>
        <v>528386.10899999959</v>
      </c>
      <c r="X27" s="12">
        <f>X22</f>
        <v>351087.49565723771</v>
      </c>
      <c r="Y27" s="12">
        <f>Y22</f>
        <v>0</v>
      </c>
    </row>
    <row r="28" spans="1:31" x14ac:dyDescent="0.2">
      <c r="H28" s="22"/>
      <c r="V28" s="12"/>
      <c r="W28" s="12"/>
      <c r="X28" s="12"/>
      <c r="Y28" s="12"/>
    </row>
    <row r="29" spans="1:31" x14ac:dyDescent="0.2">
      <c r="V29" s="12"/>
      <c r="W29" s="12"/>
      <c r="X29" s="12"/>
      <c r="Y29" s="12"/>
    </row>
    <row r="31" spans="1:31" x14ac:dyDescent="0.2">
      <c r="O31" s="12"/>
      <c r="P31" s="12"/>
    </row>
    <row r="34" spans="1:25" x14ac:dyDescent="0.2">
      <c r="Q34" s="12"/>
    </row>
    <row r="35" spans="1:25" x14ac:dyDescent="0.2">
      <c r="G35" s="18"/>
    </row>
    <row r="36" spans="1:25" s="2" customFormat="1" x14ac:dyDescent="0.2">
      <c r="A36" s="1"/>
      <c r="B36" s="1"/>
      <c r="C36" s="1"/>
      <c r="D36" s="1"/>
      <c r="E36" s="1"/>
      <c r="F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</sheetData>
  <sheetProtection algorithmName="SHA-512" hashValue="+S6ro8O7VGdGXMtnUKxn8n+Bd8FKGScMy6NO7GeEgG8GrF0FVrrCV+Ga6stij8Xx1Cb0IumWGWlt8fU6HtH3tg==" saltValue="j1eepzXbvg/vnq4alTa67g==" spinCount="100000" sheet="1" objects="1" scenarios="1"/>
  <mergeCells count="7">
    <mergeCell ref="B1:F1"/>
    <mergeCell ref="G24:H24"/>
    <mergeCell ref="G1:Q1"/>
    <mergeCell ref="J24:L24"/>
    <mergeCell ref="R24:V24"/>
    <mergeCell ref="R1:V1"/>
    <mergeCell ref="N24:P24"/>
  </mergeCells>
  <printOptions horizontalCentered="1"/>
  <pageMargins left="0.31496062992125984" right="0.31496062992125984" top="1.5748031496062993" bottom="0.78740157480314965" header="0.31496062992125984" footer="0.31496062992125984"/>
  <pageSetup paperSize="9" scale="31" orientation="landscape" r:id="rId1"/>
  <headerFooter>
    <oddFooter>&amp;LKostenverteilung 2024 nach Ergebnis&amp;C11.02.2025&amp;R&amp;P / &amp;N</oddFooter>
  </headerFooter>
  <ignoredErrors>
    <ignoredError sqref="G2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emenverantwortlicher xmlns="b720a218-5564-4efa-9035-97acff52564c">FITKO</Themenverantwortlicher>
    <Bearbeitungsstatus xmlns="b720a218-5564-4efa-9035-97acff52564c">Final/Einreichung bei GS</Bearbeitungsstatus>
    <Dokumententyp xmlns="b720a218-5564-4efa-9035-97acff52564c">Anlage</Dokumententyp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52017CD0127043B35815A84DF9DE93" ma:contentTypeVersion="5" ma:contentTypeDescription="Ein neues Dokument erstellen." ma:contentTypeScope="" ma:versionID="36d32fdf04217f878c6bf8ddfb262865">
  <xsd:schema xmlns:xsd="http://www.w3.org/2001/XMLSchema" xmlns:xs="http://www.w3.org/2001/XMLSchema" xmlns:p="http://schemas.microsoft.com/office/2006/metadata/properties" xmlns:ns2="b720a218-5564-4efa-9035-97acff52564c" targetNamespace="http://schemas.microsoft.com/office/2006/metadata/properties" ma:root="true" ma:fieldsID="99eb4e51c8a49491433cc2c52e050882" ns2:_="">
    <xsd:import namespace="b720a218-5564-4efa-9035-97acff52564c"/>
    <xsd:element name="properties">
      <xsd:complexType>
        <xsd:sequence>
          <xsd:element name="documentManagement">
            <xsd:complexType>
              <xsd:all>
                <xsd:element ref="ns2:Themenverantwortlicher"/>
                <xsd:element ref="ns2:Dokumententyp"/>
                <xsd:element ref="ns2:Bearbeitungsst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0a218-5564-4efa-9035-97acff52564c" elementFormDefault="qualified">
    <xsd:import namespace="http://schemas.microsoft.com/office/2006/documentManagement/types"/>
    <xsd:import namespace="http://schemas.microsoft.com/office/infopath/2007/PartnerControls"/>
    <xsd:element name="Themenverantwortlicher" ma:index="8" ma:displayName="Themenverantwortlicher" ma:description="Wer bringt diesen TOP ein?" ma:format="Dropdown" ma:internalName="Themenverantwortlicher">
      <xsd:simpleType>
        <xsd:restriction base="dms:Choice">
          <xsd:enumeration value="Geschäftsstelle"/>
          <xsd:enumeration value="Bund"/>
          <xsd:enumeration value="FITKO"/>
          <xsd:enumeration value="Baden-Württemberg"/>
          <xsd:enumeration value="Bayern"/>
          <xsd:enumeration value="Berlin"/>
          <xsd:enumeration value="Brandenburg"/>
          <xsd:enumeration value="Bremen"/>
          <xsd:enumeration value="Hamburg"/>
          <xsd:enumeration value="Hessen"/>
          <xsd:enumeration value="Mecklenburg-Vorpommern"/>
          <xsd:enumeration value="Niedersachsen"/>
          <xsd:enumeration value="Nordrhein-Westfalen"/>
          <xsd:enumeration value="Rheinland-Pfalz"/>
          <xsd:enumeration value="Saarland"/>
          <xsd:enumeration value="Sachsen"/>
          <xsd:enumeration value="Sachsen-Anhalt"/>
          <xsd:enumeration value="Schleswig-Holstein"/>
          <xsd:enumeration value="Thüringen"/>
          <xsd:enumeration value="Dt. Landkreistag"/>
          <xsd:enumeration value="Dt- Städtetag"/>
          <xsd:enumeration value="Dt. Städte-/Gemeindebund"/>
          <xsd:enumeration value="DSTGB"/>
          <xsd:enumeration value="Sonstiges"/>
        </xsd:restriction>
      </xsd:simpleType>
    </xsd:element>
    <xsd:element name="Dokumententyp" ma:index="9" ma:displayName="Dokumententyp" ma:description="Bitte Typ des Dokuments wählen" ma:format="Dropdown" ma:internalName="Dokumententyp">
      <xsd:simpleType>
        <xsd:restriction base="dms:Choice">
          <xsd:enumeration value="Einladung"/>
          <xsd:enumeration value="Tagesordnung"/>
          <xsd:enumeration value="Steckbrief"/>
          <xsd:enumeration value="Anlage"/>
          <xsd:enumeration value="Entscheidungsniederschrift"/>
          <xsd:enumeration value="Protokoll"/>
          <xsd:enumeration value="Zusammenfassung Steckbriefe"/>
          <xsd:enumeration value="Sonstiges"/>
        </xsd:restriction>
      </xsd:simpleType>
    </xsd:element>
    <xsd:element name="Bearbeitungsstatus" ma:index="10" ma:displayName="Bearbeitungsstatus" ma:default="In Bearbeitung/nicht eingereicht" ma:description="Ist Dokument final/kann durch GS geprüft werden?" ma:format="Dropdown" ma:internalName="Bearbeitungsstatus">
      <xsd:simpleType>
        <xsd:restriction base="dms:Choice">
          <xsd:enumeration value="In Bearbeitung/nicht eingereicht"/>
          <xsd:enumeration value="Final/Einreichung bei 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159847-479A-4BF8-9608-13008EBC3F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EDCA99-EB53-4726-A7A4-F19260212D4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EB23BA-B594-4735-94D7-E5026EB3461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Budget</vt:lpstr>
      <vt:lpstr>Kostenvert. Budget</vt:lpstr>
      <vt:lpstr>Budget!Druckbereich</vt:lpstr>
      <vt:lpstr>'Kostenvert. Budget'!Druckbereich</vt:lpstr>
      <vt:lpstr>Budget!Drucktitel</vt:lpstr>
      <vt:lpstr>'Kostenvert. Budget'!Drucktitel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Sturm, Alexander (FITKO)</dc:creator>
  <cp:lastModifiedBy>Loser, Markus  (FITKO)</cp:lastModifiedBy>
  <cp:lastPrinted>2024-09-13T07:32:25Z</cp:lastPrinted>
  <dcterms:created xsi:type="dcterms:W3CDTF">2018-02-02T11:35:19Z</dcterms:created>
  <dcterms:modified xsi:type="dcterms:W3CDTF">2025-02-20T16:03:57Z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0x0101009252017CD0127043B35815A84DF9DE93</vt:lpwstr>
  </property>
</Properties>
</file>